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OneDrive - Intel Corporation\Documents\misc\health_medical\"/>
    </mc:Choice>
  </mc:AlternateContent>
  <xr:revisionPtr revIDLastSave="0" documentId="13_ncr:1_{31DDCBF1-3B37-44BD-9728-2594EBBD4DFC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2007-17 medical bills" sheetId="1" r:id="rId1"/>
    <sheet name="Rx notes" sheetId="7" r:id="rId2"/>
    <sheet name="HSA" sheetId="2" r:id="rId3"/>
    <sheet name="childcare" sheetId="5" r:id="rId4"/>
    <sheet name="DCAP" sheetId="4" r:id="rId5"/>
    <sheet name="2007 ShTermDis" sheetId="3" r:id="rId6"/>
    <sheet name="gary mackendrick" sheetId="6" r:id="rId7"/>
  </sheets>
  <definedNames>
    <definedName name="_xlnm._FilterDatabase" localSheetId="0" hidden="1">'2007-17 medical bills'!$A$5:$T$302</definedName>
    <definedName name="_xlnm.Print_Area" localSheetId="0">'2007-17 medical bills'!$A:$T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04" i="1" l="1"/>
  <c r="J304" i="1"/>
  <c r="G304" i="1"/>
  <c r="J302" i="1" l="1"/>
  <c r="J291" i="1" l="1"/>
  <c r="G291" i="1"/>
  <c r="L291" i="1" l="1"/>
  <c r="G289" i="1"/>
  <c r="L289" i="1" s="1"/>
  <c r="J288" i="1"/>
  <c r="L288" i="1" s="1"/>
  <c r="J286" i="1" l="1"/>
  <c r="G286" i="1"/>
  <c r="L286" i="1" s="1"/>
  <c r="J245" i="1"/>
  <c r="G245" i="1"/>
  <c r="L245" i="1" s="1"/>
  <c r="J249" i="1"/>
  <c r="G249" i="1"/>
  <c r="L249" i="1" s="1"/>
  <c r="L284" i="1"/>
  <c r="H282" i="1"/>
  <c r="L280" i="1"/>
  <c r="H281" i="1"/>
  <c r="L281" i="1" s="1"/>
  <c r="H283" i="1"/>
  <c r="G283" i="1"/>
  <c r="L283" i="1" s="1"/>
  <c r="J280" i="1" l="1"/>
  <c r="H280" i="1"/>
  <c r="G280" i="1"/>
  <c r="G279" i="1" l="1"/>
  <c r="G278" i="1"/>
  <c r="G277" i="1"/>
  <c r="G276" i="1"/>
  <c r="M266" i="1" l="1"/>
  <c r="J266" i="1"/>
  <c r="G266" i="1"/>
  <c r="L266" i="1" s="1"/>
  <c r="L265" i="1" l="1"/>
  <c r="J265" i="1"/>
  <c r="H265" i="1"/>
  <c r="G265" i="1"/>
  <c r="J259" i="1" l="1"/>
  <c r="I259" i="1"/>
  <c r="J263" i="1"/>
  <c r="G263" i="1"/>
  <c r="L263" i="1" s="1"/>
  <c r="N263" i="1" s="1"/>
  <c r="J261" i="1" l="1"/>
  <c r="G261" i="1"/>
  <c r="J260" i="1"/>
  <c r="G260" i="1"/>
  <c r="L260" i="1" s="1"/>
  <c r="G259" i="1"/>
  <c r="L259" i="1" s="1"/>
  <c r="L261" i="1" l="1"/>
  <c r="G258" i="1"/>
  <c r="L253" i="1" l="1"/>
  <c r="H253" i="1"/>
  <c r="G253" i="1"/>
  <c r="H252" i="1"/>
  <c r="J252" i="1"/>
  <c r="G252" i="1"/>
  <c r="G250" i="1"/>
  <c r="J248" i="1" l="1"/>
  <c r="H248" i="1"/>
  <c r="G248" i="1"/>
  <c r="L248" i="1" s="1"/>
  <c r="M246" i="1"/>
  <c r="G246" i="1"/>
  <c r="L246" i="1" s="1"/>
  <c r="L243" i="1" l="1"/>
  <c r="L242" i="1"/>
  <c r="J241" i="1" l="1"/>
  <c r="H241" i="1"/>
  <c r="G241" i="1"/>
  <c r="L241" i="1" s="1"/>
  <c r="L240" i="1"/>
  <c r="J240" i="1"/>
  <c r="G240" i="1"/>
  <c r="H240" i="1"/>
  <c r="N240" i="1" l="1"/>
  <c r="J238" i="1"/>
  <c r="G238" i="1"/>
  <c r="L238" i="1" s="1"/>
  <c r="J236" i="1" l="1"/>
  <c r="G236" i="1"/>
  <c r="L236" i="1" l="1"/>
  <c r="G232" i="1"/>
  <c r="J232" i="1"/>
  <c r="L232" i="1" l="1"/>
  <c r="J229" i="1"/>
  <c r="H229" i="1"/>
  <c r="G229" i="1"/>
  <c r="L229" i="1" s="1"/>
  <c r="J230" i="1"/>
  <c r="G230" i="1"/>
  <c r="L230" i="1" l="1"/>
  <c r="K221" i="1"/>
  <c r="H221" i="1"/>
  <c r="G221" i="1"/>
  <c r="L221" i="1" s="1"/>
  <c r="L228" i="1" l="1"/>
  <c r="G225" i="1"/>
  <c r="J227" i="1" l="1"/>
  <c r="G227" i="1"/>
  <c r="J226" i="1"/>
  <c r="G226" i="1"/>
  <c r="G224" i="1"/>
  <c r="M223" i="1"/>
  <c r="G223" i="1"/>
  <c r="L223" i="1" s="1"/>
  <c r="L226" i="1" l="1"/>
  <c r="G220" i="1"/>
  <c r="L220" i="1" s="1"/>
  <c r="G217" i="1"/>
  <c r="L217" i="1" s="1"/>
  <c r="H219" i="1" l="1"/>
  <c r="J219" i="1"/>
  <c r="G219" i="1"/>
  <c r="L219" i="1" s="1"/>
  <c r="L216" i="1" l="1"/>
  <c r="G214" i="1"/>
  <c r="L214" i="1" s="1"/>
  <c r="J213" i="1"/>
  <c r="L213" i="1" s="1"/>
  <c r="I210" i="1" l="1"/>
  <c r="G210" i="1"/>
  <c r="L210" i="1"/>
  <c r="L209" i="1"/>
  <c r="H209" i="1"/>
  <c r="G209" i="1"/>
  <c r="L203" i="1" l="1"/>
  <c r="L204" i="1"/>
  <c r="G204" i="1"/>
  <c r="J203" i="1"/>
  <c r="J202" i="1"/>
  <c r="G202" i="1"/>
  <c r="H96" i="2" l="1"/>
  <c r="G194" i="1" l="1"/>
  <c r="L194" i="1" s="1"/>
  <c r="D15" i="6" l="1"/>
  <c r="C15" i="6"/>
  <c r="B12" i="6"/>
  <c r="B9" i="6"/>
  <c r="B15" i="6" s="1"/>
  <c r="E15" i="6" s="1"/>
  <c r="B61" i="4"/>
  <c r="B60" i="4"/>
  <c r="B53" i="4"/>
  <c r="C50" i="4"/>
  <c r="B50" i="4"/>
  <c r="J49" i="4"/>
  <c r="C48" i="4"/>
  <c r="B48" i="4"/>
  <c r="J47" i="4"/>
  <c r="C46" i="4"/>
  <c r="B46" i="4"/>
  <c r="J44" i="4"/>
  <c r="C43" i="4"/>
  <c r="B43" i="4"/>
  <c r="J42" i="4"/>
  <c r="B41" i="4"/>
  <c r="J40" i="4"/>
  <c r="B39" i="4"/>
  <c r="J38" i="4"/>
  <c r="K37" i="4"/>
  <c r="K38" i="4" s="1"/>
  <c r="B37" i="4"/>
  <c r="M36" i="4"/>
  <c r="J36" i="4"/>
  <c r="B35" i="4"/>
  <c r="J34" i="4"/>
  <c r="B33" i="4"/>
  <c r="J32" i="4"/>
  <c r="D31" i="4"/>
  <c r="B31" i="4"/>
  <c r="J30" i="4"/>
  <c r="B29" i="4"/>
  <c r="J27" i="4"/>
  <c r="J26" i="4"/>
  <c r="J24" i="4"/>
  <c r="K24" i="4" s="1"/>
  <c r="K25" i="4" s="1"/>
  <c r="J23" i="4"/>
  <c r="K23" i="4" s="1"/>
  <c r="B19" i="4"/>
  <c r="L19" i="4" s="1"/>
  <c r="L18" i="4"/>
  <c r="J17" i="4"/>
  <c r="L16" i="4"/>
  <c r="J15" i="4"/>
  <c r="L14" i="4"/>
  <c r="L13" i="4"/>
  <c r="J12" i="4"/>
  <c r="L11" i="4"/>
  <c r="J10" i="4"/>
  <c r="L9" i="4"/>
  <c r="K8" i="4"/>
  <c r="K9" i="4" s="1"/>
  <c r="J4" i="4"/>
  <c r="I27" i="5"/>
  <c r="I20" i="5"/>
  <c r="E16" i="5"/>
  <c r="J15" i="5"/>
  <c r="G15" i="5"/>
  <c r="F15" i="5"/>
  <c r="F16" i="5" s="1"/>
  <c r="E15" i="5"/>
  <c r="E17" i="5" s="1"/>
  <c r="D15" i="5"/>
  <c r="D16" i="5" s="1"/>
  <c r="D17" i="5" s="1"/>
  <c r="I11" i="5"/>
  <c r="I10" i="5"/>
  <c r="I9" i="5"/>
  <c r="I8" i="5"/>
  <c r="H8" i="5"/>
  <c r="H7" i="5"/>
  <c r="I7" i="5" s="1"/>
  <c r="I6" i="5"/>
  <c r="I15" i="5" s="1"/>
  <c r="I5" i="5"/>
  <c r="I4" i="5"/>
  <c r="K4" i="5" s="1"/>
  <c r="H93" i="2"/>
  <c r="J92" i="2"/>
  <c r="H90" i="2"/>
  <c r="F81" i="2"/>
  <c r="L80" i="2"/>
  <c r="M79" i="2"/>
  <c r="M78" i="2"/>
  <c r="H78" i="2"/>
  <c r="H79" i="2" s="1"/>
  <c r="H80" i="2" s="1"/>
  <c r="H81" i="2" s="1"/>
  <c r="H82" i="2" s="1"/>
  <c r="H83" i="2" s="1"/>
  <c r="M77" i="2"/>
  <c r="H77" i="2"/>
  <c r="M76" i="2"/>
  <c r="L75" i="2"/>
  <c r="M74" i="2"/>
  <c r="F73" i="2"/>
  <c r="H73" i="2" s="1"/>
  <c r="H74" i="2" s="1"/>
  <c r="H72" i="2"/>
  <c r="G66" i="2"/>
  <c r="F65" i="2"/>
  <c r="F64" i="2"/>
  <c r="G63" i="2"/>
  <c r="G60" i="2"/>
  <c r="F59" i="2"/>
  <c r="G56" i="2"/>
  <c r="G55" i="2"/>
  <c r="H49" i="2"/>
  <c r="H50" i="2" s="1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G47" i="2"/>
  <c r="H39" i="2"/>
  <c r="H40" i="2" s="1"/>
  <c r="H41" i="2" s="1"/>
  <c r="H42" i="2" s="1"/>
  <c r="H43" i="2" s="1"/>
  <c r="H44" i="2" s="1"/>
  <c r="H45" i="2" s="1"/>
  <c r="H46" i="2" s="1"/>
  <c r="H47" i="2" s="1"/>
  <c r="G48" i="2" s="1"/>
  <c r="H38" i="2"/>
  <c r="G38" i="2"/>
  <c r="H37" i="2"/>
  <c r="G35" i="2"/>
  <c r="F34" i="2"/>
  <c r="H34" i="2" s="1"/>
  <c r="H35" i="2" s="1"/>
  <c r="G36" i="2" s="1"/>
  <c r="H33" i="2"/>
  <c r="H32" i="2"/>
  <c r="H14" i="2"/>
  <c r="H15" i="2" s="1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11" i="2"/>
  <c r="H12" i="2" s="1"/>
  <c r="H10" i="2"/>
  <c r="H8" i="2"/>
  <c r="H6" i="2"/>
  <c r="J191" i="1"/>
  <c r="L189" i="1"/>
  <c r="J188" i="1"/>
  <c r="H188" i="1"/>
  <c r="G188" i="1"/>
  <c r="J186" i="1"/>
  <c r="G186" i="1"/>
  <c r="J185" i="1"/>
  <c r="G185" i="1"/>
  <c r="L184" i="1"/>
  <c r="J184" i="1"/>
  <c r="H184" i="1"/>
  <c r="G184" i="1"/>
  <c r="G182" i="1"/>
  <c r="L181" i="1"/>
  <c r="J181" i="1"/>
  <c r="H181" i="1"/>
  <c r="G181" i="1"/>
  <c r="L174" i="1"/>
  <c r="J174" i="1"/>
  <c r="H174" i="1"/>
  <c r="G174" i="1"/>
  <c r="J173" i="1"/>
  <c r="L172" i="1"/>
  <c r="J172" i="1"/>
  <c r="G172" i="1"/>
  <c r="G171" i="1"/>
  <c r="L171" i="1" s="1"/>
  <c r="J170" i="1"/>
  <c r="G170" i="1"/>
  <c r="G168" i="1"/>
  <c r="M167" i="1"/>
  <c r="L167" i="1"/>
  <c r="G167" i="1"/>
  <c r="J161" i="1"/>
  <c r="G161" i="1"/>
  <c r="J160" i="1"/>
  <c r="G160" i="1"/>
  <c r="G159" i="1"/>
  <c r="L159" i="1" s="1"/>
  <c r="G156" i="1"/>
  <c r="L156" i="1" s="1"/>
  <c r="M157" i="1" s="1"/>
  <c r="K157" i="1" s="1"/>
  <c r="G155" i="1"/>
  <c r="L155" i="1" s="1"/>
  <c r="L154" i="1"/>
  <c r="L153" i="1"/>
  <c r="G152" i="1"/>
  <c r="L151" i="1"/>
  <c r="G150" i="1"/>
  <c r="L150" i="1" s="1"/>
  <c r="G149" i="1"/>
  <c r="L149" i="1" s="1"/>
  <c r="G148" i="1"/>
  <c r="L148" i="1" s="1"/>
  <c r="M147" i="1"/>
  <c r="G147" i="1"/>
  <c r="L147" i="1" s="1"/>
  <c r="L146" i="1"/>
  <c r="G143" i="1"/>
  <c r="L143" i="1" s="1"/>
  <c r="G142" i="1"/>
  <c r="J141" i="1"/>
  <c r="L141" i="1" s="1"/>
  <c r="M140" i="1"/>
  <c r="G140" i="1"/>
  <c r="L140" i="1" s="1"/>
  <c r="G139" i="1"/>
  <c r="L139" i="1" s="1"/>
  <c r="G138" i="1"/>
  <c r="L138" i="1" s="1"/>
  <c r="G137" i="1"/>
  <c r="L137" i="1" s="1"/>
  <c r="M136" i="1"/>
  <c r="G136" i="1"/>
  <c r="L136" i="1" s="1"/>
  <c r="G135" i="1"/>
  <c r="G134" i="1"/>
  <c r="L131" i="1"/>
  <c r="J130" i="1"/>
  <c r="H130" i="1"/>
  <c r="G130" i="1"/>
  <c r="L129" i="1"/>
  <c r="G129" i="1"/>
  <c r="L128" i="1"/>
  <c r="H128" i="1" s="1"/>
  <c r="G127" i="1"/>
  <c r="L127" i="1" s="1"/>
  <c r="L126" i="1"/>
  <c r="G126" i="1" s="1"/>
  <c r="G123" i="1"/>
  <c r="H122" i="1"/>
  <c r="G122" i="1"/>
  <c r="L121" i="1"/>
  <c r="G121" i="1"/>
  <c r="J120" i="1"/>
  <c r="G120" i="1"/>
  <c r="J118" i="1"/>
  <c r="H118" i="1"/>
  <c r="G118" i="1"/>
  <c r="G117" i="1"/>
  <c r="G116" i="1"/>
  <c r="G114" i="1"/>
  <c r="L114" i="1" s="1"/>
  <c r="J113" i="1"/>
  <c r="H113" i="1"/>
  <c r="G113" i="1"/>
  <c r="H112" i="1"/>
  <c r="H111" i="1"/>
  <c r="G108" i="1"/>
  <c r="G107" i="1"/>
  <c r="L107" i="1" s="1"/>
  <c r="K106" i="1"/>
  <c r="L106" i="1" s="1"/>
  <c r="L104" i="1"/>
  <c r="G104" i="1"/>
  <c r="J103" i="1"/>
  <c r="G103" i="1"/>
  <c r="J102" i="1"/>
  <c r="G102" i="1"/>
  <c r="G101" i="1"/>
  <c r="L101" i="1" s="1"/>
  <c r="L100" i="1"/>
  <c r="I100" i="1" s="1"/>
  <c r="I99" i="1"/>
  <c r="H99" i="1"/>
  <c r="G97" i="1"/>
  <c r="I97" i="1" s="1"/>
  <c r="I96" i="1"/>
  <c r="J95" i="1"/>
  <c r="G95" i="1"/>
  <c r="J94" i="1"/>
  <c r="G94" i="1"/>
  <c r="J93" i="1"/>
  <c r="G93" i="1"/>
  <c r="H92" i="1"/>
  <c r="I92" i="1" s="1"/>
  <c r="J91" i="1"/>
  <c r="G91" i="1"/>
  <c r="L90" i="1"/>
  <c r="I89" i="1"/>
  <c r="L89" i="1" s="1"/>
  <c r="L88" i="1"/>
  <c r="H88" i="1"/>
  <c r="I87" i="1"/>
  <c r="G87" i="1"/>
  <c r="H86" i="1"/>
  <c r="I85" i="1"/>
  <c r="G85" i="1"/>
  <c r="G83" i="1"/>
  <c r="L83" i="1" s="1"/>
  <c r="I82" i="1"/>
  <c r="L82" i="1" s="1"/>
  <c r="G81" i="1"/>
  <c r="I80" i="1"/>
  <c r="L80" i="1" s="1"/>
  <c r="G79" i="1"/>
  <c r="L79" i="1" s="1"/>
  <c r="G78" i="1"/>
  <c r="L77" i="1"/>
  <c r="L76" i="1"/>
  <c r="G74" i="1"/>
  <c r="L74" i="1" s="1"/>
  <c r="L73" i="1"/>
  <c r="G73" i="1"/>
  <c r="I72" i="1"/>
  <c r="L72" i="1" s="1"/>
  <c r="G72" i="1"/>
  <c r="L71" i="1"/>
  <c r="G71" i="1" s="1"/>
  <c r="I68" i="1"/>
  <c r="H68" i="1" s="1"/>
  <c r="I67" i="1"/>
  <c r="I66" i="1"/>
  <c r="I65" i="1"/>
  <c r="H64" i="1"/>
  <c r="H63" i="1"/>
  <c r="I60" i="1"/>
  <c r="I59" i="1"/>
  <c r="I58" i="1"/>
  <c r="H57" i="1"/>
  <c r="G57" i="1"/>
  <c r="I56" i="1"/>
  <c r="I55" i="1"/>
  <c r="L54" i="1"/>
  <c r="I54" i="1"/>
  <c r="H54" i="1"/>
  <c r="G54" i="1"/>
  <c r="I52" i="1"/>
  <c r="H52" i="1"/>
  <c r="G52" i="1"/>
  <c r="H46" i="1"/>
  <c r="L45" i="1"/>
  <c r="H45" i="1"/>
  <c r="G45" i="1"/>
  <c r="I43" i="1"/>
  <c r="L43" i="1" s="1"/>
  <c r="H43" i="1"/>
  <c r="G43" i="1"/>
  <c r="I35" i="1"/>
  <c r="L35" i="1" s="1"/>
  <c r="H32" i="1"/>
  <c r="G32" i="1"/>
  <c r="H31" i="1"/>
  <c r="G31" i="1"/>
  <c r="G29" i="1"/>
  <c r="H28" i="1"/>
  <c r="G28" i="1"/>
  <c r="H27" i="1"/>
  <c r="G27" i="1"/>
  <c r="I26" i="1"/>
  <c r="G26" i="1"/>
  <c r="I25" i="1"/>
  <c r="G24" i="1"/>
  <c r="I24" i="1" s="1"/>
  <c r="L24" i="1" s="1"/>
  <c r="I23" i="1"/>
  <c r="I22" i="1"/>
  <c r="G22" i="1" s="1"/>
  <c r="I21" i="1"/>
  <c r="I19" i="1"/>
  <c r="H18" i="1"/>
  <c r="G18" i="1"/>
  <c r="I17" i="1"/>
  <c r="I16" i="1"/>
  <c r="I15" i="1"/>
  <c r="I14" i="1"/>
  <c r="I13" i="1"/>
  <c r="I12" i="1"/>
  <c r="I11" i="1"/>
  <c r="I10" i="1"/>
  <c r="I9" i="1"/>
  <c r="I8" i="1"/>
  <c r="I7" i="1"/>
  <c r="K39" i="4" l="1"/>
  <c r="M38" i="4"/>
  <c r="K26" i="4"/>
  <c r="K27" i="4" s="1"/>
  <c r="K28" i="4" s="1"/>
  <c r="K29" i="4" s="1"/>
  <c r="K30" i="4" s="1"/>
  <c r="K31" i="4" s="1"/>
  <c r="K32" i="4" s="1"/>
  <c r="K33" i="4" s="1"/>
  <c r="K34" i="4" s="1"/>
  <c r="K15" i="4"/>
  <c r="K16" i="4" s="1"/>
  <c r="K17" i="4" s="1"/>
  <c r="K18" i="4" s="1"/>
  <c r="K5" i="5"/>
  <c r="K6" i="5" s="1"/>
  <c r="K7" i="5" s="1"/>
  <c r="K8" i="5" s="1"/>
  <c r="K9" i="5" s="1"/>
  <c r="K10" i="5" s="1"/>
  <c r="K11" i="5" s="1"/>
  <c r="L20" i="4"/>
  <c r="K10" i="4"/>
  <c r="K11" i="4" s="1"/>
  <c r="K12" i="4" s="1"/>
  <c r="K13" i="4" s="1"/>
  <c r="K14" i="4" s="1"/>
  <c r="H15" i="5"/>
  <c r="F17" i="5"/>
  <c r="D33" i="4"/>
  <c r="D51" i="4" s="1"/>
  <c r="M37" i="4"/>
  <c r="L160" i="1"/>
  <c r="I45" i="1"/>
  <c r="G99" i="1"/>
  <c r="G88" i="1"/>
  <c r="L94" i="1"/>
  <c r="L103" i="1"/>
  <c r="H121" i="1"/>
  <c r="H129" i="1"/>
  <c r="I113" i="1"/>
  <c r="L113" i="1" s="1"/>
  <c r="J117" i="1"/>
  <c r="L117" i="1" s="1"/>
  <c r="I27" i="1"/>
  <c r="H73" i="1"/>
  <c r="I73" i="1" s="1"/>
  <c r="H85" i="1"/>
  <c r="L93" i="1"/>
  <c r="H120" i="1"/>
  <c r="L122" i="1"/>
  <c r="L161" i="1"/>
  <c r="M161" i="1" s="1"/>
  <c r="I31" i="1"/>
  <c r="L31" i="1" s="1"/>
  <c r="L102" i="1"/>
  <c r="I32" i="1"/>
  <c r="L32" i="1" s="1"/>
  <c r="L120" i="1"/>
  <c r="I172" i="1"/>
  <c r="L188" i="1"/>
  <c r="I88" i="1"/>
  <c r="H91" i="1"/>
  <c r="I91" i="1" s="1"/>
  <c r="L91" i="1" s="1"/>
  <c r="L95" i="1"/>
  <c r="L130" i="1"/>
  <c r="I28" i="1"/>
  <c r="I57" i="1"/>
  <c r="H72" i="1"/>
  <c r="H104" i="1"/>
  <c r="J116" i="1"/>
  <c r="L116" i="1" s="1"/>
  <c r="L118" i="1"/>
  <c r="L170" i="1"/>
  <c r="L78" i="1"/>
  <c r="L99" i="1"/>
  <c r="J115" i="1"/>
  <c r="L115" i="1" s="1"/>
  <c r="M115" i="1" s="1"/>
  <c r="H100" i="1"/>
  <c r="M34" i="4" l="1"/>
  <c r="K35" i="4"/>
  <c r="M35" i="4" s="1"/>
  <c r="L33" i="4"/>
  <c r="L34" i="4" s="1"/>
  <c r="L35" i="4" s="1"/>
  <c r="L36" i="4" s="1"/>
  <c r="L37" i="4" s="1"/>
  <c r="L38" i="4" s="1"/>
  <c r="L39" i="4" s="1"/>
  <c r="K15" i="5"/>
  <c r="K40" i="4"/>
  <c r="M39" i="4"/>
  <c r="M116" i="1"/>
  <c r="M117" i="1" s="1"/>
  <c r="L40" i="4" l="1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M40" i="4"/>
  <c r="K41" i="4"/>
  <c r="K42" i="4" l="1"/>
  <c r="M41" i="4"/>
  <c r="L51" i="4"/>
  <c r="M42" i="4" l="1"/>
  <c r="K43" i="4"/>
  <c r="M43" i="4" l="1"/>
  <c r="K44" i="4"/>
  <c r="K45" i="4" l="1"/>
  <c r="M44" i="4"/>
  <c r="K46" i="4" l="1"/>
  <c r="M45" i="4"/>
  <c r="M46" i="4" l="1"/>
  <c r="K47" i="4"/>
  <c r="M47" i="4" l="1"/>
  <c r="K48" i="4"/>
  <c r="M48" i="4" l="1"/>
  <c r="K49" i="4"/>
  <c r="M49" i="4" l="1"/>
  <c r="K50" i="4"/>
  <c r="M50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  <author>RBR</author>
    <author>Bailey Roberts, Roberta</author>
  </authors>
  <commentList>
    <comment ref="Q35" authorId="0" shapeId="0" xr:uid="{00000000-0006-0000-0000-000001000000}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 xr:uid="{00000000-0006-0000-0000-000003000000}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 xr:uid="{00000000-0006-0000-0000-000004000000}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 xr:uid="{00000000-0006-0000-0000-000005000000}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 xr:uid="{00000000-0006-0000-0000-000006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 xr:uid="{00000000-0006-0000-0000-000007000000}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 xr:uid="{00000000-0006-0000-0000-000008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 xr:uid="{00000000-0006-0000-0000-000009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 xr:uid="{00000000-0006-0000-0000-00000A000000}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 xr:uid="{00000000-0006-0000-0000-00000B000000}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 xr:uid="{00000000-0006-0000-0000-00000C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 xr:uid="{00000000-0006-0000-0000-00000D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 xr:uid="{00000000-0006-0000-0000-00000E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 xr:uid="{00000000-0006-0000-0000-00000F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 xr:uid="{00000000-0006-0000-0000-000010000000}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 xr:uid="{00000000-0006-0000-0000-000011000000}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 xr:uid="{00000000-0006-0000-0000-000012000000}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 xr:uid="{00000000-0006-0000-0000-000013000000}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  <comment ref="G202" authorId="2" shapeId="0" xr:uid="{00000000-0006-0000-0000-000014000000}">
      <text>
        <r>
          <rPr>
            <b/>
            <sz val="9"/>
            <color indexed="81"/>
            <rFont val="Tahoma"/>
            <family val="2"/>
          </rPr>
          <t>new charges, without repeats</t>
        </r>
      </text>
    </comment>
    <comment ref="L202" authorId="2" shapeId="0" xr:uid="{00000000-0006-0000-0000-000015000000}">
      <text>
        <r>
          <rPr>
            <sz val="9"/>
            <color indexed="81"/>
            <rFont val="Tahoma"/>
            <family val="2"/>
          </rPr>
          <t>Includes 18.52 from previous pending to insurance</t>
        </r>
      </text>
    </comment>
    <comment ref="N210" authorId="2" shapeId="0" xr:uid="{00000000-0006-0000-0000-000016000000}">
      <text>
        <r>
          <rPr>
            <sz val="9"/>
            <color indexed="81"/>
            <rFont val="Tahoma"/>
            <family val="2"/>
          </rPr>
          <t>May have had an additional charge or fees</t>
        </r>
      </text>
    </comment>
    <comment ref="J212" authorId="2" shapeId="0" xr:uid="{00000000-0006-0000-0000-000017000000}">
      <text>
        <r>
          <rPr>
            <b/>
            <sz val="9"/>
            <color indexed="81"/>
            <rFont val="Tahoma"/>
            <family val="2"/>
          </rPr>
          <t>by check to me</t>
        </r>
      </text>
    </comment>
    <comment ref="G213" authorId="2" shapeId="0" xr:uid="{00000000-0006-0000-0000-000018000000}">
      <text>
        <r>
          <rPr>
            <sz val="9"/>
            <color indexed="81"/>
            <rFont val="Tahoma"/>
            <family val="2"/>
          </rPr>
          <t>balance forward - not sure details</t>
        </r>
      </text>
    </comment>
    <comment ref="J223" authorId="2" shapeId="0" xr:uid="{00000000-0006-0000-0000-000019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J225" authorId="2" shapeId="0" xr:uid="{00000000-0006-0000-0000-00001A000000}">
      <text>
        <r>
          <rPr>
            <b/>
            <sz val="9"/>
            <color indexed="81"/>
            <rFont val="Tahoma"/>
            <family val="2"/>
          </rPr>
          <t>from next bill</t>
        </r>
      </text>
    </comment>
    <comment ref="L225" authorId="2" shapeId="0" xr:uid="{00000000-0006-0000-0000-00001B000000}">
      <text>
        <r>
          <rPr>
            <b/>
            <sz val="9"/>
            <color indexed="81"/>
            <rFont val="Tahoma"/>
            <family val="2"/>
          </rPr>
          <t>Total due</t>
        </r>
      </text>
    </comment>
    <comment ref="M225" authorId="2" shapeId="0" xr:uid="{00000000-0006-0000-0000-00001C000000}">
      <text>
        <r>
          <rPr>
            <b/>
            <sz val="9"/>
            <color indexed="81"/>
            <rFont val="Tahoma"/>
            <family val="2"/>
          </rPr>
          <t>Includes some outstanding insurance</t>
        </r>
      </text>
    </comment>
    <comment ref="M226" authorId="2" shapeId="0" xr:uid="{00000000-0006-0000-0000-00001D000000}">
      <text>
        <r>
          <rPr>
            <b/>
            <sz val="9"/>
            <color indexed="81"/>
            <rFont val="Tahoma"/>
            <family val="2"/>
          </rPr>
          <t xml:space="preserve">215.1 ins pd on prev
</t>
        </r>
      </text>
    </comment>
    <comment ref="J227" authorId="2" shapeId="0" xr:uid="{00000000-0006-0000-0000-00001E000000}">
      <text>
        <r>
          <rPr>
            <sz val="9"/>
            <color indexed="81"/>
            <rFont val="Tahoma"/>
            <family val="2"/>
          </rPr>
          <t>68 pending to ins,   likely 43.80 or 40.86 will be pd</t>
        </r>
      </text>
    </comment>
    <comment ref="J229" authorId="2" shapeId="0" xr:uid="{00000000-0006-0000-0000-00001F000000}">
      <text>
        <r>
          <rPr>
            <b/>
            <sz val="9"/>
            <color indexed="81"/>
            <rFont val="Tahoma"/>
            <family val="2"/>
          </rPr>
          <t>68 pending insurance</t>
        </r>
      </text>
    </comment>
    <comment ref="J230" authorId="2" shapeId="0" xr:uid="{00000000-0006-0000-0000-000020000000}">
      <text>
        <r>
          <rPr>
            <b/>
            <sz val="9"/>
            <color indexed="81"/>
            <rFont val="Tahoma"/>
            <family val="2"/>
          </rPr>
          <t>estimated 600.3</t>
        </r>
      </text>
    </comment>
    <comment ref="G233" authorId="2" shapeId="0" xr:uid="{00000000-0006-0000-0000-000021000000}">
      <text>
        <r>
          <rPr>
            <b/>
            <sz val="9"/>
            <color indexed="81"/>
            <rFont val="Tahoma"/>
            <family val="2"/>
          </rPr>
          <t>49 glasses, 75 for refraction checking</t>
        </r>
      </text>
    </comment>
    <comment ref="J234" authorId="2" shapeId="0" xr:uid="{00000000-0006-0000-0000-000022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E244" authorId="2" shapeId="0" xr:uid="{00000000-0006-0000-0000-000023000000}">
      <text>
        <r>
          <rPr>
            <sz val="9"/>
            <color indexed="81"/>
            <rFont val="Tahoma"/>
            <family val="2"/>
          </rPr>
          <t>1st bill was 10/12/17 sent to Hawthorne</t>
        </r>
      </text>
    </comment>
    <comment ref="J246" authorId="2" shapeId="0" xr:uid="{00000000-0006-0000-0000-000024000000}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250" authorId="2" shapeId="0" xr:uid="{00000000-0006-0000-0000-000025000000}">
      <text>
        <r>
          <rPr>
            <b/>
            <sz val="9"/>
            <color indexed="81"/>
            <rFont val="Tahoma"/>
            <family val="2"/>
          </rPr>
          <t xml:space="preserve">Don't know previous charge
</t>
        </r>
      </text>
    </comment>
    <comment ref="I259" authorId="2" shapeId="0" xr:uid="{00000000-0006-0000-0000-000026000000}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J259" authorId="2" shapeId="0" xr:uid="{00000000-0006-0000-0000-000027000000}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G261" authorId="2" shapeId="0" xr:uid="{00000000-0006-0000-0000-000028000000}">
      <text>
        <r>
          <rPr>
            <b/>
            <sz val="9"/>
            <color indexed="81"/>
            <rFont val="Tahoma"/>
            <family val="2"/>
          </rPr>
          <t>Charges still pending to insurance: =62+12+217 + 367+0.04</t>
        </r>
      </text>
    </comment>
    <comment ref="I263" authorId="2" shapeId="0" xr:uid="{00000000-0006-0000-0000-000029000000}">
      <text>
        <r>
          <rPr>
            <b/>
            <sz val="9"/>
            <color indexed="81"/>
            <rFont val="Tahoma"/>
            <family val="2"/>
          </rPr>
          <t>Estimated insurance</t>
        </r>
      </text>
    </comment>
    <comment ref="M281" authorId="2" shapeId="0" xr:uid="{00000000-0006-0000-0000-00002A000000}">
      <text>
        <r>
          <rPr>
            <b/>
            <sz val="9"/>
            <color indexed="81"/>
            <rFont val="Tahoma"/>
            <family val="2"/>
          </rPr>
          <t>Part of our prepayment</t>
        </r>
      </text>
    </comment>
    <comment ref="J284" authorId="2" shapeId="0" xr:uid="{00000000-0006-0000-0000-00002B000000}">
      <text>
        <r>
          <rPr>
            <b/>
            <sz val="9"/>
            <color indexed="81"/>
            <rFont val="Tahoma"/>
            <family val="2"/>
          </rPr>
          <t>Estimated  (pd 148.50 so far)</t>
        </r>
      </text>
    </comment>
    <comment ref="J302" authorId="2" shapeId="0" xr:uid="{00000000-0006-0000-0000-00002C000000}">
      <text>
        <r>
          <rPr>
            <b/>
            <sz val="9"/>
            <color indexed="81"/>
            <rFont val="Tahoma"/>
            <family val="2"/>
          </rPr>
          <t>219.68 still pending from ins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H54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 xr:uid="{00000000-0006-0000-0200-000002000000}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 xr:uid="{00000000-0006-0000-0200-000003000000}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 xr:uid="{00000000-0006-0000-0200-000004000000}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E23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 xr:uid="{00000000-0006-0000-0300-000002000000}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rbrobert</author>
  </authors>
  <commentList>
    <comment ref="B13" authorId="0" shapeId="0" xr:uid="{00000000-0006-0000-0400-000001000000}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 xr:uid="{00000000-0006-0000-0400-000002000000}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<sst xmlns="http://schemas.openxmlformats.org/spreadsheetml/2006/main" count="2074" uniqueCount="746">
  <si>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</si>
  <si>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</si>
  <si>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</si>
  <si>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</si>
  <si>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</si>
  <si>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</si>
  <si>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</si>
  <si>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</si>
  <si>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</si>
  <si>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</si>
  <si>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</si>
  <si>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</si>
  <si>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</si>
  <si>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</si>
  <si>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</si>
  <si>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</si>
  <si>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</si>
  <si>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</si>
  <si>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</si>
  <si>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</si>
  <si>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</si>
  <si>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</si>
  <si>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</si>
  <si>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</si>
  <si>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</si>
  <si>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</si>
  <si>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</si>
  <si>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</si>
  <si>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</si>
  <si>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</si>
  <si>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</si>
  <si>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</si>
  <si>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</si>
  <si>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</si>
  <si>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</si>
  <si>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</si>
  <si>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</si>
  <si>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</si>
  <si>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</si>
  <si>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</si>
  <si>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</si>
  <si>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</si>
  <si>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</si>
  <si>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</si>
  <si>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</si>
  <si>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</si>
  <si>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</si>
  <si>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</si>
  <si>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</si>
  <si>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</si>
  <si>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</si>
  <si>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</si>
  <si>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</si>
  <si>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</si>
  <si>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</si>
  <si>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</si>
  <si>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</si>
  <si>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</si>
  <si>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</si>
  <si>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</si>
  <si>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</si>
  <si>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</si>
  <si>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</si>
  <si>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</si>
  <si>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</si>
  <si>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</si>
  <si>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</si>
  <si>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</si>
  <si>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</si>
  <si>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</si>
  <si>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</si>
  <si>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</si>
  <si>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</si>
  <si>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</si>
  <si>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</si>
  <si>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</si>
  <si>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</si>
  <si>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</si>
  <si>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</si>
  <si>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</si>
  <si>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</si>
  <si>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</si>
  <si>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</si>
  <si>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</si>
  <si>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</si>
  <si>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</si>
  <si>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</si>
  <si>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</si>
  <si>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</si>
  <si>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</si>
  <si>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</si>
  <si>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</si>
  <si>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</si>
  <si>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</si>
  <si>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</si>
  <si>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</si>
  <si>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</si>
  <si>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</si>
  <si>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</si>
  <si>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</si>
  <si>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</si>
  <si>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</si>
  <si>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</si>
  <si>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</si>
  <si>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</si>
  <si>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</si>
  <si>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</si>
  <si>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</si>
  <si>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</si>
  <si>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</si>
  <si>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</si>
  <si>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</si>
  <si>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</si>
  <si>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</si>
  <si>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</si>
  <si>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</si>
  <si>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</si>
  <si>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</si>
  <si>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</si>
  <si>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</si>
  <si>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</si>
  <si>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</si>
  <si>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</si>
  <si>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</si>
  <si>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</si>
  <si>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</si>
  <si>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</si>
  <si>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</si>
  <si>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</si>
  <si>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</si>
  <si>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</si>
  <si>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</si>
  <si>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</si>
  <si>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</si>
  <si>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</si>
  <si>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</si>
  <si>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</si>
  <si>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</si>
  <si>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</si>
  <si>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</si>
  <si>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</si>
  <si>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</si>
  <si>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</si>
  <si>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</si>
  <si>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</si>
  <si>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</si>
  <si>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</si>
  <si>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</si>
  <si>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</si>
  <si>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</si>
  <si>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</si>
  <si>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</si>
  <si>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</si>
  <si>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</si>
  <si>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</si>
  <si>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</si>
  <si>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</si>
  <si>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</si>
  <si>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</si>
  <si>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</si>
  <si>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</si>
  <si>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</si>
  <si>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</si>
  <si>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</si>
  <si>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</si>
  <si>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</si>
  <si>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</si>
  <si>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</si>
  <si>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</si>
  <si>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</si>
  <si>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</si>
  <si>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</si>
  <si>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</si>
  <si>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</si>
  <si>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</si>
  <si>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</si>
  <si>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</si>
  <si>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</si>
  <si>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</si>
  <si>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</si>
  <si>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</si>
  <si>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</si>
  <si>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</si>
  <si>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</si>
  <si>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</si>
  <si>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</si>
  <si>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</si>
  <si>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</si>
  <si>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</si>
  <si>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</si>
  <si>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</si>
  <si>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</si>
  <si>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</si>
  <si>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</si>
  <si>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</si>
  <si>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</si>
  <si>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</si>
  <si>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</si>
  <si>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</si>
  <si>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</si>
  <si>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</si>
  <si>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</si>
  <si>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</si>
  <si>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</si>
  <si>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</si>
  <si>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</si>
  <si>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</si>
  <si>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</si>
  <si>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</si>
  <si>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</si>
  <si>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</si>
  <si>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</si>
  <si>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</si>
  <si>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</si>
  <si>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</si>
  <si>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</si>
  <si>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</si>
  <si>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</si>
  <si>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</si>
  <si>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</si>
  <si>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</si>
  <si>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</si>
  <si>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</si>
  <si>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</si>
  <si>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</si>
  <si>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</si>
  <si>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</si>
  <si>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</si>
  <si>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</si>
  <si>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</si>
  <si>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</si>
  <si>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</si>
  <si>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</si>
  <si>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</si>
  <si>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</si>
  <si>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</si>
  <si>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</si>
  <si>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</si>
  <si>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</si>
  <si>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</si>
  <si>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</si>
  <si>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</si>
  <si>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</si>
  <si>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</si>
  <si>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</si>
  <si>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</si>
  <si>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</si>
  <si>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</si>
  <si>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</si>
  <si>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</si>
  <si>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</si>
  <si>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</si>
  <si>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</si>
  <si>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</si>
  <si>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</si>
  <si>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</si>
  <si>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</si>
  <si>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</si>
  <si>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</si>
  <si>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</si>
  <si>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</si>
  <si>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</si>
  <si>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</si>
  <si>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</si>
  <si>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</si>
  <si>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</si>
  <si>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</si>
  <si>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</si>
  <si>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</si>
  <si>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</si>
  <si>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</si>
  <si>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</si>
  <si>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</si>
  <si>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</si>
  <si>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</si>
  <si>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</si>
  <si>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</si>
  <si>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</si>
  <si>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</si>
  <si>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</si>
  <si>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</si>
  <si>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</si>
  <si>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</si>
  <si>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</si>
  <si>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</si>
  <si>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</si>
  <si>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</si>
  <si>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</si>
  <si>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</si>
  <si>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</si>
  <si>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</si>
  <si>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</si>
  <si>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</si>
  <si>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</si>
  <si>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</si>
  <si>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</si>
  <si>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</si>
  <si>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</si>
  <si>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</si>
  <si>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</si>
  <si>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</si>
  <si>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</si>
  <si>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</si>
  <si>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</si>
  <si>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</si>
  <si>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</si>
  <si>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</si>
  <si>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</si>
  <si>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</si>
  <si>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</si>
  <si>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</si>
  <si>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</si>
  <si>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</si>
  <si>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</si>
  <si>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</si>
  <si>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</si>
  <si>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</si>
  <si>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</si>
  <si>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</si>
  <si>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</si>
  <si>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</si>
  <si>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</si>
  <si>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</si>
  <si>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</si>
  <si>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</si>
  <si>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</si>
  <si>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</si>
  <si>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</si>
  <si>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</si>
  <si>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</si>
  <si>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</si>
  <si>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</si>
  <si>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</si>
  <si>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</si>
  <si>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</si>
  <si>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</si>
  <si>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</si>
  <si>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</si>
  <si>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</si>
  <si>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</si>
  <si>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</si>
  <si>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</si>
  <si>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</si>
  <si>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</si>
  <si>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</si>
  <si>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</si>
  <si>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</si>
  <si>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</si>
  <si>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</si>
  <si>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</si>
  <si>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</si>
  <si>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</si>
  <si>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</si>
  <si>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</si>
  <si>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</si>
  <si>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</si>
  <si>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</si>
  <si>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</si>
  <si>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</si>
  <si>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</si>
  <si>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</si>
  <si>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</si>
  <si>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</si>
  <si>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</si>
  <si>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</si>
  <si>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</si>
  <si>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</si>
  <si>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</si>
  <si>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</si>
  <si>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</si>
  <si>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</si>
  <si>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</si>
  <si>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</si>
  <si>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</si>
  <si>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</si>
  <si>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</si>
  <si>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</si>
  <si>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</si>
  <si>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</si>
  <si>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</si>
  <si>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</si>
  <si>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</si>
  <si>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</si>
  <si>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</si>
  <si>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</si>
  <si>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</si>
  <si>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</si>
  <si>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</si>
  <si>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</si>
  <si>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</si>
  <si>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</si>
  <si>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</si>
  <si>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</si>
  <si>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</si>
  <si>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</si>
  <si>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</si>
  <si>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</si>
  <si>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</si>
  <si>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</si>
  <si>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</si>
  <si>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</si>
  <si>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</si>
  <si>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</si>
  <si>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</si>
  <si>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</si>
  <si>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</si>
  <si>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</si>
  <si>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</si>
  <si>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</si>
  <si>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</si>
  <si>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</si>
  <si>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</si>
  <si>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</si>
  <si>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</si>
  <si>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</si>
  <si>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</si>
  <si>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</si>
  <si>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</si>
  <si>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</si>
  <si>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</si>
  <si>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</si>
  <si>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</si>
  <si>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</si>
  <si>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</si>
  <si>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</si>
  <si>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</si>
  <si>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</si>
  <si>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</si>
  <si>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</si>
  <si>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</si>
  <si>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</si>
  <si>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</si>
  <si>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</si>
  <si>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</si>
  <si>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</si>
  <si>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</si>
  <si>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</si>
  <si>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</si>
  <si>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</si>
  <si>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</si>
  <si>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</si>
  <si>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</si>
  <si>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</si>
  <si>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</si>
  <si>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</si>
  <si>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</si>
  <si>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</si>
  <si>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</si>
  <si>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</si>
  <si>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</si>
  <si>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</si>
  <si>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</si>
  <si>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</si>
  <si>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</si>
  <si>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</si>
  <si>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</si>
  <si>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</si>
  <si>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</si>
  <si>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</si>
  <si>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</si>
  <si>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</si>
  <si>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</si>
  <si>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</si>
  <si>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</si>
  <si>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</si>
  <si>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</si>
  <si>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</si>
  <si>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</si>
  <si>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</si>
  <si>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</si>
  <si>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</si>
  <si>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</si>
  <si>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</si>
  <si>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</si>
  <si>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</si>
  <si>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</si>
  <si>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</si>
  <si>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</si>
  <si>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</si>
  <si>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</si>
  <si>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</si>
  <si>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</si>
  <si>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</si>
  <si>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</si>
  <si>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</si>
  <si>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</si>
  <si>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</si>
  <si>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</si>
  <si>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</si>
  <si>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</si>
  <si>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</si>
  <si>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</si>
  <si>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</si>
  <si>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</si>
  <si>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</si>
  <si>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</si>
  <si>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</si>
  <si>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</si>
  <si>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</si>
  <si>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</si>
  <si>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</si>
  <si>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</si>
  <si>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</si>
  <si>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</si>
  <si>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</si>
  <si>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</si>
  <si>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</si>
  <si>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</si>
  <si>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</si>
  <si>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</si>
  <si>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</si>
  <si>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</si>
  <si>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</si>
  <si>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</si>
  <si>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</si>
  <si>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</si>
  <si>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</si>
  <si>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</si>
  <si>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</si>
  <si>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</si>
  <si>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</si>
  <si>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</si>
  <si>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</si>
  <si>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Dona, Max, Roberta</t>
  </si>
  <si>
    <t>cleanings</t>
  </si>
  <si>
    <t>surface resin composite</t>
  </si>
  <si>
    <t>x78.8</t>
  </si>
  <si>
    <t>Forgot to mail 12/31/15. Sent in 2/14 payment</t>
  </si>
  <si>
    <t>Costco</t>
  </si>
  <si>
    <t>rx</t>
  </si>
  <si>
    <t>Rx - roberta</t>
  </si>
  <si>
    <t>direct</t>
  </si>
  <si>
    <t>Walgreens</t>
  </si>
  <si>
    <t>Rx - ?</t>
  </si>
  <si>
    <t>New Leaves Clinic</t>
  </si>
  <si>
    <t>colonoscopy prep</t>
  </si>
  <si>
    <t>1/21+1/25+2/17/16</t>
  </si>
  <si>
    <t>Knee physical therapy eval, exercizes</t>
  </si>
  <si>
    <t>343495A1487</t>
  </si>
  <si>
    <t>need to call office to use card</t>
  </si>
  <si>
    <t>11/11/15+11/18+11/25+12/2+12/9+12/16+12/23/15</t>
  </si>
  <si>
    <t>weekly shots</t>
  </si>
  <si>
    <t>pending insurance:</t>
  </si>
  <si>
    <t>2/3+2/17/16</t>
  </si>
  <si>
    <t>Follow up</t>
  </si>
  <si>
    <t>included change of address</t>
  </si>
  <si>
    <t>Jeremy Lake MD</t>
  </si>
  <si>
    <t>2/11+3/4/16</t>
  </si>
  <si>
    <t>Diagnostic colonoscopy with pre-visit</t>
  </si>
  <si>
    <t>1/29+2/4+2/8</t>
  </si>
  <si>
    <t>Knee physical therapy &amp; exercises</t>
  </si>
  <si>
    <t>Blood work</t>
  </si>
  <si>
    <t>WCC-16-01185</t>
  </si>
  <si>
    <t>n/a</t>
  </si>
  <si>
    <t>Geneva Health Center appears to have closed May 2016</t>
  </si>
  <si>
    <t>ROBWA002</t>
  </si>
  <si>
    <t>Shows as "Claim not found, rebilled".  I recall a Walter appt last winter</t>
  </si>
  <si>
    <t>Dona, Roberta</t>
  </si>
  <si>
    <t>before 7/28/16</t>
  </si>
  <si>
    <t xml:space="preserve">HSA </t>
  </si>
  <si>
    <t>before 7/16</t>
  </si>
  <si>
    <t>3 month checkup</t>
  </si>
  <si>
    <t>over phone</t>
  </si>
  <si>
    <t>paid in office</t>
  </si>
  <si>
    <t>by phone</t>
  </si>
  <si>
    <t>paid by phone</t>
  </si>
  <si>
    <t>9/30/15+10/21+10/28+11/4+11/11+11/18/15</t>
  </si>
  <si>
    <t>weekly shots (overlap)</t>
  </si>
  <si>
    <t>For our prescription plan, we pay full price until our full deductible has been met, then it is 10% (?)</t>
  </si>
  <si>
    <t>For Roberta's Symbicort inhaler - it was ~$235 per month from Walgreens.    Now 729 for 3 months from Express Scripts at start of year.  Then drops to $20+ / mo after</t>
  </si>
  <si>
    <t>11/21/16+12/19/16+1/5/17</t>
  </si>
  <si>
    <t>3 sessions to freeze plantar warts on left foot</t>
  </si>
  <si>
    <t>cleaning &amp; fluoride</t>
  </si>
  <si>
    <t>4th bill</t>
  </si>
  <si>
    <t>Medical Imaging of Hillsboro -- Pacific Coast Credit</t>
  </si>
  <si>
    <t>Received call 3/21/17 from Rachel Grant at Pacific Coast Credit regarding bill from Tuality hospital</t>
  </si>
  <si>
    <t>Resin composit, Amal</t>
  </si>
  <si>
    <t>11/17/2016 &amp; 11/22/16</t>
  </si>
  <si>
    <t>Amal, Crown, etc</t>
  </si>
  <si>
    <t>Why did it include duplicate cost 11/17  Resn tooth 12 $285 from prev?</t>
  </si>
  <si>
    <t>1/27+1/31/17+2/3</t>
  </si>
  <si>
    <t>Dona,Max,Walter,Roberta</t>
  </si>
  <si>
    <t>Cleaning, Xrays, eval</t>
  </si>
  <si>
    <t>mail or person?</t>
  </si>
  <si>
    <t>HSA#181</t>
  </si>
  <si>
    <t>pd later</t>
  </si>
  <si>
    <t>on HSA181</t>
  </si>
  <si>
    <t>11/4+11/14+11/25+12/5+12/16+12/27/16</t>
  </si>
  <si>
    <t>HSA#182</t>
  </si>
  <si>
    <t>10 day shots</t>
  </si>
  <si>
    <t>not sure status -- did I pay it already?</t>
  </si>
  <si>
    <t>2/17 overlap+3/2+3/15 +3/28+4/8+4/18+4/29 +5/13+5/23+6/3+6/13 +6/20+7/1+7/11+7/22 +8/1+8/12+8/22+9/2 +9/12+9/23+10/3 +10/14+10/24</t>
  </si>
  <si>
    <t>Markus,Dona</t>
  </si>
  <si>
    <t>1/25+1/27/2017</t>
  </si>
  <si>
    <t>D:xray/cleaning, M:broken tooth</t>
  </si>
  <si>
    <t>HSA#184</t>
  </si>
  <si>
    <t>Rx renewals/checkup</t>
  </si>
  <si>
    <t>12/9/2016+1/2/16</t>
  </si>
  <si>
    <t>4/6/17 summary from Med Img</t>
  </si>
  <si>
    <t>Check HSA checkbook - I think I paid this ~4/1/17</t>
  </si>
  <si>
    <t>4/4+4/13+4/27/17</t>
  </si>
  <si>
    <t>Tooth 20, cleaning, resin27, Amal surf tooth29,31,32</t>
  </si>
  <si>
    <t>12/27/16+1/6/17+1/16+1/27+2/6+2/17+2/27+3/10+3/20+3/31/17</t>
  </si>
  <si>
    <t>HSA#188</t>
  </si>
  <si>
    <t>HSA#187</t>
  </si>
  <si>
    <t>Refills</t>
  </si>
  <si>
    <t>shots, sinus/ear infection?</t>
  </si>
  <si>
    <t>3/31+4/10+4/21+5/1+5/12+5/19/17. Pending 5/23/17</t>
  </si>
  <si>
    <t>HSA#190</t>
  </si>
  <si>
    <t>HSA#189</t>
  </si>
  <si>
    <t>Richardson Eye Clinic</t>
  </si>
  <si>
    <t>new eye glasses</t>
  </si>
  <si>
    <t>DQMW</t>
  </si>
  <si>
    <t>8/15+8/17</t>
  </si>
  <si>
    <t>Kids cleanings, Markus tooth20 film</t>
  </si>
  <si>
    <t>HSA #191</t>
  </si>
  <si>
    <t>5/23+6/9+6/19+7/3+7/17+7/31exc 8/14</t>
  </si>
  <si>
    <t>shots</t>
  </si>
  <si>
    <t>HSA #193</t>
  </si>
  <si>
    <t>likely overlap with 9/24 payment</t>
  </si>
  <si>
    <t>HSA #192</t>
  </si>
  <si>
    <t>Dr. Darcy Cruikshank</t>
  </si>
  <si>
    <t>Orthodontia</t>
  </si>
  <si>
    <t>RO134</t>
  </si>
  <si>
    <t>HSA #194</t>
  </si>
  <si>
    <t>9/6/17,9/28/17</t>
  </si>
  <si>
    <t>M&amp;R</t>
  </si>
  <si>
    <t>Composite,Cleaning</t>
  </si>
  <si>
    <t>HSA #195</t>
  </si>
  <si>
    <t>Exam + glasses</t>
  </si>
  <si>
    <t>10/13+10/23+11/3+11/13+11/20+11/27+12/4+12/11+12/18; excl pending:12/26</t>
  </si>
  <si>
    <t>Medical visit</t>
  </si>
  <si>
    <t>Xray</t>
  </si>
  <si>
    <t>lab/bact-micro</t>
  </si>
  <si>
    <t>Max</t>
  </si>
  <si>
    <t>Cleaning &amp; xray</t>
  </si>
  <si>
    <t>D &amp; W</t>
  </si>
  <si>
    <t>HSA #197</t>
  </si>
  <si>
    <t>combo mail</t>
  </si>
  <si>
    <t>Medical visit (check ears)</t>
  </si>
  <si>
    <t>1/23/2018 (3/27 pending)</t>
  </si>
  <si>
    <t>12/26/17+1/2+1/8+1/15+1/22+1/29+2/5+2/12+2/20+2/26+3/5 (excl: 3/12+3/23)</t>
  </si>
  <si>
    <t>?? + 5/8/18</t>
  </si>
  <si>
    <t>HSA 198</t>
  </si>
  <si>
    <t>Joy Gephart annual, refills, tetanus short</t>
  </si>
  <si>
    <t>Walker Rd Chiropractic</t>
  </si>
  <si>
    <t>12/7/17 &amp; 12/21/17</t>
  </si>
  <si>
    <t>spinal 3-4 and extraspinal 1 or more regions</t>
  </si>
  <si>
    <t>HSA 199</t>
  </si>
  <si>
    <t>blood test, comprehensive metabolic panel, thyroxine, tbh, obc &amp; platelet count</t>
  </si>
  <si>
    <t>blood test, ferritin, iron, ibc</t>
  </si>
  <si>
    <t>Paid 4/11 &amp; 4/19/18 bills together</t>
  </si>
  <si>
    <t>Providence Health &amp; Services</t>
  </si>
  <si>
    <t>Walgreens (urgent care?)</t>
  </si>
  <si>
    <t>Tooth 6,8,9,10,11 resin</t>
  </si>
  <si>
    <t>HSA #200</t>
  </si>
  <si>
    <t>Markus + Dona + Walter</t>
  </si>
  <si>
    <t>8/8+8/17+8/17</t>
  </si>
  <si>
    <t>M: Crown; D/W: cleaning</t>
  </si>
  <si>
    <t>HSA #201</t>
  </si>
  <si>
    <t>sent in with the next check</t>
  </si>
  <si>
    <t>5/25+6/5+6/15/18</t>
  </si>
  <si>
    <t>HSA #202 void, card instead</t>
  </si>
  <si>
    <t>shots and appt</t>
  </si>
  <si>
    <r>
      <t>7/30+</t>
    </r>
    <r>
      <rPr>
        <b/>
        <sz val="10"/>
        <rFont val="Arial"/>
        <family val="2"/>
      </rPr>
      <t>8/10</t>
    </r>
    <r>
      <rPr>
        <sz val="10"/>
        <rFont val="Arial"/>
        <family val="2"/>
      </rPr>
      <t>+8/20/18</t>
    </r>
  </si>
  <si>
    <t>Grapevine Women's Health and Gyn</t>
  </si>
  <si>
    <t>11125A7230</t>
  </si>
  <si>
    <t>Gyn checkup</t>
  </si>
  <si>
    <t>All</t>
  </si>
  <si>
    <t>9/13+10/5+10/18/18</t>
  </si>
  <si>
    <t>9/27+10/25/18</t>
  </si>
  <si>
    <t>Blood test (various)</t>
  </si>
  <si>
    <t>HSA debit</t>
  </si>
  <si>
    <t>Appt</t>
  </si>
  <si>
    <t>8/10+9/17+10/8/18</t>
  </si>
  <si>
    <t>Vision check &amp; glasses</t>
  </si>
  <si>
    <t>11056 : 12349</t>
  </si>
  <si>
    <t>Resin composit (#28/29), Amal #31, Resin #27</t>
  </si>
  <si>
    <t>Washington County Pathologists</t>
  </si>
  <si>
    <t>Colonoscopy samples</t>
  </si>
  <si>
    <t>4845*1064864389</t>
  </si>
  <si>
    <t>Hillsboro Gastroenterology PC</t>
  </si>
  <si>
    <t>Colonscopy &amp; Endoscopy</t>
  </si>
  <si>
    <t>HSA #203</t>
  </si>
  <si>
    <t>online?</t>
  </si>
  <si>
    <t>Received additional bill 1/23/19.  Fortunately checked to see that I'd already paid it and it cleared the day after bill sent.</t>
  </si>
  <si>
    <t>Cleared as Epic Dental Arts</t>
  </si>
  <si>
    <t>There was an additional payment 1/3/19 294.01 by debit</t>
  </si>
  <si>
    <t>No bill?</t>
  </si>
  <si>
    <t>Look for receipt on this payment.  All I have is the HSA record that it was paid</t>
  </si>
  <si>
    <t>2/1/19 recvd bill that it wan't paid, but HSA charge cleared</t>
  </si>
  <si>
    <t>Center for Medical Imaging</t>
  </si>
  <si>
    <t>Chest Xray - 2 views</t>
  </si>
  <si>
    <t>C99825</t>
  </si>
  <si>
    <t>Natruietic Peptide</t>
  </si>
  <si>
    <t>Gatrointestinal service + labs (colonoscopy + endoscopy)</t>
  </si>
  <si>
    <t>Office visit (follow up)</t>
  </si>
  <si>
    <t>My Premise Health</t>
  </si>
  <si>
    <t>4/3/2019 (online)</t>
  </si>
  <si>
    <t>Office outpatient new (rash)</t>
  </si>
  <si>
    <t>TDAP / MENACWY vaccine, annual checkup</t>
  </si>
  <si>
    <t>pending</t>
  </si>
  <si>
    <t>HPV vaccine, annual checkup (new)</t>
  </si>
  <si>
    <t>0 (pending)</t>
  </si>
  <si>
    <t>Blood test, annual checkup (new)</t>
  </si>
  <si>
    <t>Metabolic panel</t>
  </si>
  <si>
    <t>OHSU</t>
  </si>
  <si>
    <t>Esophagogastroduodenoscipy  (required prepay)</t>
  </si>
  <si>
    <t>OHSU/Tuality Healthcare - Ana Ponea</t>
  </si>
  <si>
    <t>5/1/19 &amp; 6/11/19</t>
  </si>
  <si>
    <t>Pulmonary assessment (new) &amp; follow up</t>
  </si>
  <si>
    <t>OHSU - Hospital</t>
  </si>
  <si>
    <t>Pharmacy/Lab/Anesthesia/Drugs/Recovery/GastroIntestinal</t>
  </si>
  <si>
    <t>6/20/2019 &amp; 7/23/19</t>
  </si>
  <si>
    <t>OHSU - Christian Lanciault</t>
  </si>
  <si>
    <t>Provider: Endoscopy, Endoscopy, Pathology/lab, Immunhistochemistry</t>
  </si>
  <si>
    <t>This only applied 61.07 of the 1917.17 prepayment, where is the rest?</t>
  </si>
  <si>
    <t>We had to pre-pay 2770 (1917.17+853.76).  I see credit for 853.76 on this part of bill  (But why is there still &gt;$800 more?)</t>
  </si>
  <si>
    <t>Tiffany Long, DDS</t>
  </si>
  <si>
    <t>Markus &amp; Roberta</t>
  </si>
  <si>
    <t>5/28/19 &amp; 6/17/19</t>
  </si>
  <si>
    <t>Roberta &amp; Markus</t>
  </si>
  <si>
    <t>Cleaning &amp; exam;  Cleaning, xray, addl film?</t>
  </si>
  <si>
    <t>3/12+3/23+4/2+4/11+4/13+4/23+ ?</t>
  </si>
  <si>
    <t>Shots &amp; 1 visit  (+ 1 more visit?)</t>
  </si>
  <si>
    <t>~6/2/18</t>
  </si>
  <si>
    <t>4/2/18 + 4/12/18</t>
  </si>
  <si>
    <t>Cleaning and bitewings</t>
  </si>
  <si>
    <t>pd on next bill</t>
  </si>
  <si>
    <t>covered</t>
  </si>
  <si>
    <t>5/29 &amp; 5/30 &amp; 6/17/19</t>
  </si>
  <si>
    <t>Office (new) + blood test + annual checkup</t>
  </si>
  <si>
    <t>9/9/2019?</t>
  </si>
  <si>
    <t>checkup</t>
  </si>
  <si>
    <t>VISA 2899</t>
  </si>
  <si>
    <t>6/19&amp; 7/10/19</t>
  </si>
  <si>
    <t>Glasses and optic nerve test</t>
  </si>
  <si>
    <t>Pulmonary function test +labs &amp; room</t>
  </si>
  <si>
    <t>Called to pay with old Benefit Wallet card before the transition freeze for converting to Fidelity</t>
  </si>
  <si>
    <t>Michael Minor DMD</t>
  </si>
  <si>
    <t>10/21 &amp; 11/13/19</t>
  </si>
  <si>
    <t>problem focused eval, crown</t>
  </si>
  <si>
    <t>Waiting for HSA transfer to Fidelity to complete.  Initial $275 balance is not enough to pay the full bill</t>
  </si>
  <si>
    <t>10/14-12/26/19</t>
  </si>
  <si>
    <t>Adjustments &amp; massage therapy</t>
  </si>
  <si>
    <t>missing updtes???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</si>
</sst>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sz val="10"/>
      <color rgb="FFFF0000"/>
      <name val="Arial"/>
      <family val="2"/>
    </font>
    <font>
      <sz val="10"/>
      <color rgb="FF4B4942"/>
      <name val="Arial"/>
      <family val="2"/>
    </font>
    <font>
      <sz val="10"/>
      <color theme="9" tint="-0.249977111117893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FEFF9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75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2" fontId="1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1" fillId="11" borderId="0" xfId="0" applyNumberFormat="1" applyFont="1" applyFill="1" applyAlignment="1">
      <alignment vertical="top"/>
    </xf>
    <xf numFmtId="2" fontId="0" fillId="11" borderId="0" xfId="0" applyNumberFormat="1" applyFill="1" applyAlignment="1">
      <alignment vertical="top"/>
    </xf>
    <xf numFmtId="14" fontId="0" fillId="11" borderId="0" xfId="0" applyNumberFormat="1" applyFill="1" applyAlignment="1">
      <alignment horizontal="left" vertical="top"/>
    </xf>
    <xf numFmtId="0" fontId="0" fillId="11" borderId="0" xfId="0" applyFill="1" applyAlignment="1">
      <alignment vertical="top"/>
    </xf>
    <xf numFmtId="0" fontId="0" fillId="11" borderId="0" xfId="0" applyFill="1" applyAlignment="1">
      <alignment vertical="top" wrapText="1"/>
    </xf>
    <xf numFmtId="0" fontId="12" fillId="15" borderId="10" xfId="0" applyFont="1" applyFill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horizontal="left" vertical="top"/>
    </xf>
    <xf numFmtId="14" fontId="1" fillId="11" borderId="0" xfId="0" applyNumberFormat="1" applyFont="1" applyFill="1" applyAlignment="1">
      <alignment vertical="top"/>
    </xf>
    <xf numFmtId="14" fontId="1" fillId="11" borderId="0" xfId="0" applyNumberFormat="1" applyFont="1" applyFill="1" applyAlignment="1">
      <alignment horizontal="left" vertical="top"/>
    </xf>
    <xf numFmtId="14" fontId="0" fillId="0" borderId="0" xfId="0" applyNumberFormat="1" applyFill="1" applyAlignment="1">
      <alignment vertical="top" wrapText="1"/>
    </xf>
    <xf numFmtId="0" fontId="0" fillId="11" borderId="0" xfId="0" applyNumberFormat="1" applyFill="1" applyAlignment="1">
      <alignment vertical="top"/>
    </xf>
    <xf numFmtId="0" fontId="1" fillId="0" borderId="0" xfId="0" quotePrefix="1" applyFont="1" applyAlignment="1">
      <alignment vertical="top" wrapText="1"/>
    </xf>
    <xf numFmtId="16" fontId="1" fillId="0" borderId="0" xfId="0" applyNumberFormat="1" applyFont="1" applyAlignment="1">
      <alignment vertical="top" wrapText="1"/>
    </xf>
    <xf numFmtId="14" fontId="1" fillId="11" borderId="0" xfId="0" applyNumberFormat="1" applyFont="1" applyFill="1" applyAlignment="1">
      <alignment vertical="top" wrapText="1"/>
    </xf>
    <xf numFmtId="0" fontId="1" fillId="0" borderId="0" xfId="0" quotePrefix="1" applyFont="1" applyAlignment="1">
      <alignment vertical="top"/>
    </xf>
    <xf numFmtId="14" fontId="1" fillId="0" borderId="0" xfId="0" applyNumberFormat="1" applyFont="1" applyFill="1" applyAlignment="1">
      <alignment vertical="top" wrapText="1"/>
    </xf>
    <xf numFmtId="4" fontId="0" fillId="0" borderId="0" xfId="0" quotePrefix="1" applyNumberFormat="1" applyAlignment="1">
      <alignment vertical="top"/>
    </xf>
    <xf numFmtId="0" fontId="0" fillId="16" borderId="0" xfId="0" applyFill="1" applyAlignment="1">
      <alignment vertical="top" wrapText="1"/>
    </xf>
    <xf numFmtId="0" fontId="0" fillId="16" borderId="0" xfId="0" applyFill="1" applyAlignment="1">
      <alignment vertical="top"/>
    </xf>
    <xf numFmtId="14" fontId="0" fillId="16" borderId="0" xfId="0" applyNumberFormat="1" applyFill="1" applyAlignment="1">
      <alignment vertical="top"/>
    </xf>
    <xf numFmtId="14" fontId="0" fillId="16" borderId="0" xfId="0" applyNumberFormat="1" applyFill="1" applyAlignment="1">
      <alignment vertical="top" wrapText="1"/>
    </xf>
    <xf numFmtId="0" fontId="0" fillId="16" borderId="0" xfId="0" applyNumberFormat="1" applyFill="1" applyAlignment="1">
      <alignment vertical="top"/>
    </xf>
    <xf numFmtId="4" fontId="0" fillId="16" borderId="0" xfId="0" applyNumberFormat="1" applyFill="1" applyAlignment="1">
      <alignment vertical="top"/>
    </xf>
    <xf numFmtId="2" fontId="0" fillId="16" borderId="0" xfId="0" applyNumberFormat="1" applyFill="1" applyAlignment="1">
      <alignment vertical="top"/>
    </xf>
    <xf numFmtId="14" fontId="0" fillId="16" borderId="0" xfId="0" applyNumberFormat="1" applyFill="1" applyAlignment="1">
      <alignment horizontal="left" vertical="top"/>
    </xf>
    <xf numFmtId="4" fontId="0" fillId="0" borderId="0" xfId="0" applyNumberFormat="1" applyAlignment="1">
      <alignment horizontal="right" vertical="top"/>
    </xf>
    <xf numFmtId="2" fontId="0" fillId="0" borderId="0" xfId="0" applyNumberFormat="1" applyAlignment="1">
      <alignment horizontal="right" vertical="top"/>
    </xf>
    <xf numFmtId="14" fontId="13" fillId="0" borderId="0" xfId="0" applyNumberFormat="1" applyFont="1"/>
    <xf numFmtId="14" fontId="1" fillId="0" borderId="0" xfId="0" applyNumberFormat="1" applyFont="1"/>
    <xf numFmtId="0" fontId="0" fillId="0" borderId="0" xfId="0" applyFont="1" applyAlignment="1">
      <alignment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1" fillId="0" borderId="0" xfId="0" applyNumberFormat="1" applyFont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>
          <a:extLst>
            <a:ext uri="{FF2B5EF4-FFF2-40B4-BE49-F238E27FC236}">
              <a16:creationId xmlns:a16="http://schemas.microsoft.com/office/drawing/2014/main" id="{00000000-0008-0000-0400-00003A080000}"/>
            </a:ext>
          </a:extLst>
        </xdr:cNvPr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304"/>
  <sheetViews>
    <sheetView tabSelected="1" zoomScale="130" zoomScaleNormal="130" workbookViewId="0">
      <pane xSplit="6" ySplit="5" topLeftCell="G294" activePane="bottomRight" state="frozen"/>
      <selection activeCell="C57" sqref="C57"/>
      <selection pane="topRight" activeCell="C57" sqref="C57"/>
      <selection pane="bottomLeft" activeCell="C57" sqref="C57"/>
      <selection pane="bottomRight" activeCell="O304" sqref="O304"/>
    </sheetView>
  </sheetViews>
  <sheetFormatPr defaultColWidth="9.109375" defaultRowHeight="13.2" outlineLevelCol="1" x14ac:dyDescent="0.25"/>
  <cols>
    <col min="1" max="1" width="20" style="9" bestFit="1" customWidth="1"/>
    <col min="2" max="2" width="8.6640625" style="10" customWidth="1"/>
    <col min="3" max="3" width="20.44140625" style="10" hidden="1" customWidth="1" outlineLevel="1"/>
    <col min="4" max="4" width="22.5546875" style="9" hidden="1" customWidth="1" outlineLevel="1"/>
    <col min="5" max="5" width="10.109375" style="9" hidden="1" customWidth="1" outlineLevel="1"/>
    <col min="6" max="6" width="15.6640625" style="11" hidden="1" customWidth="1" outlineLevel="1" collapsed="1"/>
    <col min="7" max="7" width="9.109375" style="12" bestFit="1" collapsed="1"/>
    <col min="8" max="8" width="11.44140625" style="12" bestFit="1" customWidth="1"/>
    <col min="9" max="9" width="10" style="12" bestFit="1" customWidth="1"/>
    <col min="10" max="10" width="11.44140625" style="12" customWidth="1"/>
    <col min="11" max="11" width="9.33203125" style="12" bestFit="1" customWidth="1"/>
    <col min="12" max="12" width="9.6640625" style="12" customWidth="1"/>
    <col min="13" max="13" width="7.88671875" style="38" customWidth="1"/>
    <col min="14" max="14" width="9.88671875" style="12" customWidth="1"/>
    <col min="15" max="15" width="10.109375" style="13" bestFit="1" customWidth="1"/>
    <col min="16" max="16" width="14.109375" style="13" bestFit="1" customWidth="1"/>
    <col min="17" max="17" width="10.88671875" style="63" customWidth="1"/>
    <col min="18" max="18" width="7.109375" style="10" customWidth="1"/>
    <col min="19" max="19" width="9.88671875" style="10" customWidth="1"/>
    <col min="20" max="20" width="52.109375" style="9" customWidth="1"/>
    <col min="21" max="16384" width="9.109375" style="10"/>
  </cols>
  <sheetData>
    <row r="1" spans="1:20" x14ac:dyDescent="0.25">
      <c r="A1" s="53" t="s">
        <v>0</v>
      </c>
    </row>
    <row r="5" spans="1:20" ht="26.4" x14ac:dyDescent="0.2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2.8" x14ac:dyDescent="0.25">
      <c r="A6" s="9" t="s">
        <v>234</v>
      </c>
      <c r="B6" s="9" t="s">
        <v>33</v>
      </c>
      <c r="C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x14ac:dyDescent="0.25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x14ac:dyDescent="0.25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x14ac:dyDescent="0.25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x14ac:dyDescent="0.25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x14ac:dyDescent="0.25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x14ac:dyDescent="0.25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x14ac:dyDescent="0.25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x14ac:dyDescent="0.25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x14ac:dyDescent="0.25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x14ac:dyDescent="0.25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x14ac:dyDescent="0.25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6.4" x14ac:dyDescent="0.25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6.4" x14ac:dyDescent="0.2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x14ac:dyDescent="0.25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x14ac:dyDescent="0.25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6.4" x14ac:dyDescent="0.2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6.4" x14ac:dyDescent="0.2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6.4" x14ac:dyDescent="0.2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6.4" x14ac:dyDescent="0.2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6.4" x14ac:dyDescent="0.2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6.4" x14ac:dyDescent="0.2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6.4" x14ac:dyDescent="0.2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x14ac:dyDescent="0.2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x14ac:dyDescent="0.25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x14ac:dyDescent="0.25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6.4" x14ac:dyDescent="0.2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x14ac:dyDescent="0.25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6" x14ac:dyDescent="0.2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6.4" x14ac:dyDescent="0.25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6.4" x14ac:dyDescent="0.2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6.4" x14ac:dyDescent="0.2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6.4" x14ac:dyDescent="0.2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6.4" x14ac:dyDescent="0.2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6.4" x14ac:dyDescent="0.2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6.4" x14ac:dyDescent="0.25">
      <c r="A41" s="9" t="s">
        <v>133</v>
      </c>
      <c r="B41" s="10" t="s">
        <v>33</v>
      </c>
      <c r="E41" s="10"/>
      <c r="Q41" s="13"/>
    </row>
    <row r="42" spans="1:20" ht="26.4" x14ac:dyDescent="0.25">
      <c r="A42" s="9" t="s">
        <v>133</v>
      </c>
      <c r="B42" s="10" t="s">
        <v>35</v>
      </c>
      <c r="E42" s="10"/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6.4" x14ac:dyDescent="0.2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6.4" x14ac:dyDescent="0.2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x14ac:dyDescent="0.25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x14ac:dyDescent="0.25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x14ac:dyDescent="0.25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6.4" x14ac:dyDescent="0.2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6.4" x14ac:dyDescent="0.2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x14ac:dyDescent="0.25">
      <c r="A50" s="9" t="s">
        <v>163</v>
      </c>
      <c r="B50" s="10" t="s">
        <v>33</v>
      </c>
      <c r="C50" s="13">
        <v>39675</v>
      </c>
      <c r="D50" s="9" t="s">
        <v>164</v>
      </c>
      <c r="E50" s="16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6.4" x14ac:dyDescent="0.2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x14ac:dyDescent="0.25">
      <c r="A52" s="9" t="s">
        <v>163</v>
      </c>
      <c r="B52" s="10" t="s">
        <v>33</v>
      </c>
      <c r="C52" s="13">
        <v>39708</v>
      </c>
      <c r="D52" s="9" t="s">
        <v>148</v>
      </c>
      <c r="E52" s="16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x14ac:dyDescent="0.25">
      <c r="A53" s="9" t="s">
        <v>163</v>
      </c>
      <c r="B53" s="10" t="s">
        <v>33</v>
      </c>
      <c r="C53" s="13">
        <v>39710</v>
      </c>
      <c r="D53" s="9" t="s">
        <v>165</v>
      </c>
      <c r="E53" s="16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6.4" x14ac:dyDescent="0.2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x14ac:dyDescent="0.25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x14ac:dyDescent="0.25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6.4" x14ac:dyDescent="0.2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x14ac:dyDescent="0.25">
      <c r="A58" s="9" t="s">
        <v>163</v>
      </c>
      <c r="B58" s="10" t="s">
        <v>33</v>
      </c>
      <c r="C58" s="56">
        <v>39871</v>
      </c>
      <c r="D58" s="9" t="s">
        <v>148</v>
      </c>
      <c r="E58" s="16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x14ac:dyDescent="0.25">
      <c r="A59" s="9" t="s">
        <v>163</v>
      </c>
      <c r="B59" s="10" t="s">
        <v>33</v>
      </c>
      <c r="C59" s="13">
        <v>39892</v>
      </c>
      <c r="D59" s="9" t="s">
        <v>242</v>
      </c>
      <c r="E59" s="16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x14ac:dyDescent="0.25">
      <c r="A60" s="9" t="s">
        <v>163</v>
      </c>
      <c r="B60" s="10" t="s">
        <v>33</v>
      </c>
      <c r="C60" s="13">
        <v>39948</v>
      </c>
      <c r="D60" s="9" t="s">
        <v>148</v>
      </c>
      <c r="E60" s="16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9.6" x14ac:dyDescent="0.25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x14ac:dyDescent="0.25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x14ac:dyDescent="0.25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6.4" x14ac:dyDescent="0.2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6.4" x14ac:dyDescent="0.2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6.4" x14ac:dyDescent="0.2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6.4" x14ac:dyDescent="0.2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6.4" x14ac:dyDescent="0.2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x14ac:dyDescent="0.25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52">
        <v>117.9</v>
      </c>
      <c r="O69" s="155">
        <v>40205</v>
      </c>
      <c r="P69" s="155" t="s">
        <v>24</v>
      </c>
      <c r="Q69" s="155" t="s">
        <v>285</v>
      </c>
    </row>
    <row r="70" spans="1:20" x14ac:dyDescent="0.25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53"/>
      <c r="O70" s="155"/>
      <c r="P70" s="155"/>
      <c r="Q70" s="155"/>
    </row>
    <row r="71" spans="1:20" x14ac:dyDescent="0.25">
      <c r="A71" s="9" t="s">
        <v>287</v>
      </c>
      <c r="B71" s="10" t="s">
        <v>284</v>
      </c>
      <c r="C71" s="13">
        <v>40130</v>
      </c>
      <c r="D71" s="9" t="s">
        <v>296</v>
      </c>
      <c r="E71" s="10"/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54"/>
      <c r="O71" s="155"/>
      <c r="P71" s="155"/>
      <c r="Q71" s="155"/>
    </row>
    <row r="72" spans="1:20" ht="52.8" x14ac:dyDescent="0.25">
      <c r="A72" s="21" t="s">
        <v>163</v>
      </c>
      <c r="B72" s="22" t="s">
        <v>35</v>
      </c>
      <c r="C72" s="23">
        <v>40105</v>
      </c>
      <c r="D72" s="21" t="s">
        <v>322</v>
      </c>
      <c r="E72" s="128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6.4" x14ac:dyDescent="0.25">
      <c r="A73" s="9" t="s">
        <v>163</v>
      </c>
      <c r="B73" s="10" t="s">
        <v>33</v>
      </c>
      <c r="C73" s="13">
        <v>40123</v>
      </c>
      <c r="D73" s="9" t="s">
        <v>301</v>
      </c>
      <c r="E73" s="16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6.4" x14ac:dyDescent="0.2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x14ac:dyDescent="0.25">
      <c r="A75" s="9" t="s">
        <v>163</v>
      </c>
      <c r="B75" s="10" t="s">
        <v>33</v>
      </c>
      <c r="C75" s="13">
        <v>40165</v>
      </c>
      <c r="D75" s="9" t="s">
        <v>300</v>
      </c>
      <c r="E75" s="16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x14ac:dyDescent="0.25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56">
        <v>179.4</v>
      </c>
      <c r="O76" s="159">
        <v>40273</v>
      </c>
      <c r="P76" s="162" t="s">
        <v>24</v>
      </c>
      <c r="Q76" s="162" t="s">
        <v>285</v>
      </c>
    </row>
    <row r="77" spans="1:20" x14ac:dyDescent="0.25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57"/>
      <c r="O77" s="160"/>
      <c r="P77" s="163"/>
      <c r="Q77" s="163"/>
    </row>
    <row r="78" spans="1:20" x14ac:dyDescent="0.25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57"/>
      <c r="O78" s="160"/>
      <c r="P78" s="163"/>
      <c r="Q78" s="163"/>
    </row>
    <row r="79" spans="1:20" x14ac:dyDescent="0.25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58"/>
      <c r="O79" s="161"/>
      <c r="P79" s="164"/>
      <c r="Q79" s="164"/>
    </row>
    <row r="80" spans="1:20" x14ac:dyDescent="0.25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6.4" x14ac:dyDescent="0.2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x14ac:dyDescent="0.25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x14ac:dyDescent="0.25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x14ac:dyDescent="0.25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x14ac:dyDescent="0.25">
      <c r="A85" s="9" t="s">
        <v>163</v>
      </c>
      <c r="B85" s="10" t="s">
        <v>33</v>
      </c>
      <c r="C85" s="13">
        <v>40204</v>
      </c>
      <c r="D85" s="9" t="s">
        <v>317</v>
      </c>
      <c r="E85" s="16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49" t="s">
        <v>323</v>
      </c>
      <c r="R85" s="10" t="s">
        <v>14</v>
      </c>
      <c r="T85" s="9" t="s">
        <v>329</v>
      </c>
    </row>
    <row r="86" spans="1:20" x14ac:dyDescent="0.25">
      <c r="A86" s="9" t="s">
        <v>163</v>
      </c>
      <c r="B86" s="10" t="s">
        <v>33</v>
      </c>
      <c r="C86" s="13">
        <v>40212</v>
      </c>
      <c r="D86" s="9" t="s">
        <v>318</v>
      </c>
      <c r="E86" s="16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50"/>
      <c r="R86" s="10" t="s">
        <v>14</v>
      </c>
    </row>
    <row r="87" spans="1:20" x14ac:dyDescent="0.25">
      <c r="A87" s="9" t="s">
        <v>163</v>
      </c>
      <c r="B87" s="10" t="s">
        <v>33</v>
      </c>
      <c r="C87" s="13">
        <v>40283</v>
      </c>
      <c r="D87" s="9" t="s">
        <v>319</v>
      </c>
      <c r="E87" s="16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51"/>
      <c r="R87" s="10" t="s">
        <v>14</v>
      </c>
    </row>
    <row r="88" spans="1:20" x14ac:dyDescent="0.25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x14ac:dyDescent="0.25">
      <c r="A89" s="9" t="s">
        <v>163</v>
      </c>
      <c r="B89" s="10" t="s">
        <v>33</v>
      </c>
      <c r="C89" s="13">
        <v>40388</v>
      </c>
      <c r="D89" s="9" t="s">
        <v>328</v>
      </c>
      <c r="E89" s="16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x14ac:dyDescent="0.25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6.4" x14ac:dyDescent="0.2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x14ac:dyDescent="0.25">
      <c r="A92" s="68" t="s">
        <v>163</v>
      </c>
      <c r="B92" s="69" t="s">
        <v>33</v>
      </c>
      <c r="C92" s="13">
        <v>40469</v>
      </c>
      <c r="D92" s="68" t="s">
        <v>328</v>
      </c>
      <c r="E92" s="16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x14ac:dyDescent="0.25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56">
        <v>40.700000000000003</v>
      </c>
      <c r="O93" s="162">
        <v>40517</v>
      </c>
      <c r="P93" s="156" t="s">
        <v>24</v>
      </c>
      <c r="Q93" s="156" t="s">
        <v>339</v>
      </c>
      <c r="R93" s="69" t="s">
        <v>14</v>
      </c>
      <c r="S93" s="69"/>
    </row>
    <row r="94" spans="1:20" x14ac:dyDescent="0.25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57"/>
      <c r="O94" s="163"/>
      <c r="P94" s="157"/>
      <c r="Q94" s="157"/>
      <c r="R94" s="69" t="s">
        <v>14</v>
      </c>
      <c r="S94" s="69"/>
    </row>
    <row r="95" spans="1:20" x14ac:dyDescent="0.25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58"/>
      <c r="O95" s="164"/>
      <c r="P95" s="158"/>
      <c r="Q95" s="158"/>
      <c r="R95" s="69" t="s">
        <v>14</v>
      </c>
      <c r="S95" s="69"/>
    </row>
    <row r="96" spans="1:20" x14ac:dyDescent="0.25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x14ac:dyDescent="0.25">
      <c r="A97" s="9" t="s">
        <v>163</v>
      </c>
      <c r="B97" s="10" t="s">
        <v>33</v>
      </c>
      <c r="C97" s="13">
        <v>40557</v>
      </c>
      <c r="D97" s="9" t="s">
        <v>328</v>
      </c>
      <c r="E97" s="16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6.4" x14ac:dyDescent="0.2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6" x14ac:dyDescent="0.25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x14ac:dyDescent="0.25">
      <c r="A100" s="9" t="s">
        <v>163</v>
      </c>
      <c r="B100" s="10" t="s">
        <v>33</v>
      </c>
      <c r="C100" s="10" t="s">
        <v>354</v>
      </c>
      <c r="D100" s="9" t="s">
        <v>355</v>
      </c>
      <c r="E100" s="16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x14ac:dyDescent="0.25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56">
        <v>63.6</v>
      </c>
      <c r="O101" s="13">
        <v>40790</v>
      </c>
      <c r="P101" s="156" t="s">
        <v>24</v>
      </c>
      <c r="Q101" s="156" t="s">
        <v>360</v>
      </c>
      <c r="R101" s="10" t="s">
        <v>14</v>
      </c>
    </row>
    <row r="102" spans="1:19" x14ac:dyDescent="0.25">
      <c r="A102" s="9" t="s">
        <v>287</v>
      </c>
      <c r="B102" s="10" t="s">
        <v>63</v>
      </c>
      <c r="C102" s="13">
        <v>40704</v>
      </c>
      <c r="D102" s="9" t="s">
        <v>357</v>
      </c>
      <c r="E102" s="10"/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57"/>
      <c r="P102" s="157"/>
      <c r="Q102" s="157"/>
      <c r="R102" s="10" t="s">
        <v>14</v>
      </c>
    </row>
    <row r="103" spans="1:19" x14ac:dyDescent="0.25">
      <c r="A103" s="9" t="s">
        <v>287</v>
      </c>
      <c r="B103" s="10" t="s">
        <v>284</v>
      </c>
      <c r="C103" s="13">
        <v>40704</v>
      </c>
      <c r="D103" s="9" t="s">
        <v>358</v>
      </c>
      <c r="E103" s="10"/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58"/>
      <c r="P103" s="158"/>
      <c r="Q103" s="158"/>
      <c r="R103" s="10" t="s">
        <v>14</v>
      </c>
    </row>
    <row r="104" spans="1:19" x14ac:dyDescent="0.25">
      <c r="A104" s="9" t="s">
        <v>163</v>
      </c>
      <c r="B104" s="10" t="s">
        <v>33</v>
      </c>
      <c r="C104" s="13">
        <v>40725</v>
      </c>
      <c r="D104" s="9" t="s">
        <v>328</v>
      </c>
      <c r="E104" s="16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x14ac:dyDescent="0.25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x14ac:dyDescent="0.25">
      <c r="A106" s="9" t="s">
        <v>363</v>
      </c>
      <c r="B106" s="10" t="s">
        <v>284</v>
      </c>
      <c r="C106" s="9" t="s">
        <v>366</v>
      </c>
      <c r="D106" s="9" t="s">
        <v>364</v>
      </c>
      <c r="E106" s="10"/>
      <c r="G106" s="12">
        <v>565</v>
      </c>
      <c r="K106" s="12">
        <f>11.3+15.31</f>
        <v>26.61</v>
      </c>
      <c r="L106" s="12">
        <f>G106+K106</f>
        <v>591.61</v>
      </c>
      <c r="N106" s="156">
        <v>675.61</v>
      </c>
      <c r="O106" s="13">
        <v>40811</v>
      </c>
      <c r="P106" s="13" t="s">
        <v>385</v>
      </c>
      <c r="R106" s="10" t="s">
        <v>14</v>
      </c>
    </row>
    <row r="107" spans="1:19" x14ac:dyDescent="0.25">
      <c r="A107" s="9" t="s">
        <v>363</v>
      </c>
      <c r="B107" s="10" t="s">
        <v>284</v>
      </c>
      <c r="C107" s="10" t="s">
        <v>369</v>
      </c>
      <c r="D107" s="9" t="s">
        <v>364</v>
      </c>
      <c r="E107" s="10"/>
      <c r="G107" s="12">
        <f>630-105</f>
        <v>525</v>
      </c>
      <c r="J107" s="12">
        <v>441</v>
      </c>
      <c r="L107" s="12">
        <f>G107+-J107+K107</f>
        <v>84</v>
      </c>
      <c r="N107" s="158"/>
      <c r="O107" s="13">
        <v>40811</v>
      </c>
      <c r="P107" s="13" t="s">
        <v>386</v>
      </c>
      <c r="R107" s="10" t="s">
        <v>14</v>
      </c>
    </row>
    <row r="108" spans="1:19" ht="26.4" x14ac:dyDescent="0.2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x14ac:dyDescent="0.25">
      <c r="A109" s="9" t="s">
        <v>388</v>
      </c>
      <c r="B109" s="10" t="s">
        <v>284</v>
      </c>
      <c r="E109" s="10"/>
    </row>
    <row r="110" spans="1:19" x14ac:dyDescent="0.25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6.4" x14ac:dyDescent="0.2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6.4" x14ac:dyDescent="0.2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3.4" thickBot="1" x14ac:dyDescent="0.3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x14ac:dyDescent="0.25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>G114-H114-J114</f>
        <v>15.5</v>
      </c>
      <c r="N114" s="165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x14ac:dyDescent="0.25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>G115-H115-J115</f>
        <v>23.380077369439078</v>
      </c>
      <c r="M115" s="38">
        <f>L114+L115</f>
        <v>38.880077369439078</v>
      </c>
      <c r="N115" s="166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x14ac:dyDescent="0.25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>G116-H116-J116</f>
        <v>32.170986460348161</v>
      </c>
      <c r="M116" s="38">
        <f>M115+L116</f>
        <v>71.051063829787239</v>
      </c>
      <c r="N116" s="166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8" thickBot="1" x14ac:dyDescent="0.3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>G117-H117-J117</f>
        <v>41.148936170212778</v>
      </c>
      <c r="M117" s="38">
        <f>M116+L117</f>
        <v>112.20000000000002</v>
      </c>
      <c r="N117" s="167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6.4" x14ac:dyDescent="0.25">
      <c r="A118" s="9" t="s">
        <v>163</v>
      </c>
      <c r="B118" s="10" t="s">
        <v>33</v>
      </c>
      <c r="C118" s="16" t="s">
        <v>415</v>
      </c>
      <c r="D118" s="9" t="s">
        <v>416</v>
      </c>
      <c r="E118" s="16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>G118-H118-J118</f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x14ac:dyDescent="0.25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x14ac:dyDescent="0.25">
      <c r="A120" s="89" t="s">
        <v>163</v>
      </c>
      <c r="B120" s="90" t="s">
        <v>33</v>
      </c>
      <c r="C120" s="91">
        <v>40889</v>
      </c>
      <c r="D120" s="89" t="s">
        <v>424</v>
      </c>
      <c r="E120" s="16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x14ac:dyDescent="0.25">
      <c r="A121" s="89" t="s">
        <v>163</v>
      </c>
      <c r="B121" s="90" t="s">
        <v>33</v>
      </c>
      <c r="C121" s="90" t="s">
        <v>423</v>
      </c>
      <c r="D121" s="89" t="s">
        <v>425</v>
      </c>
      <c r="E121" s="16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x14ac:dyDescent="0.25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x14ac:dyDescent="0.25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56">
        <v>69.53</v>
      </c>
    </row>
    <row r="124" spans="1:19" x14ac:dyDescent="0.25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57"/>
    </row>
    <row r="125" spans="1:19" x14ac:dyDescent="0.25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57"/>
    </row>
    <row r="126" spans="1:19" x14ac:dyDescent="0.25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57"/>
    </row>
    <row r="127" spans="1:19" x14ac:dyDescent="0.25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58"/>
    </row>
    <row r="128" spans="1:19" x14ac:dyDescent="0.25">
      <c r="A128" s="9" t="s">
        <v>163</v>
      </c>
      <c r="B128" s="10" t="s">
        <v>33</v>
      </c>
      <c r="C128" s="13">
        <v>41047</v>
      </c>
      <c r="D128" s="9" t="s">
        <v>328</v>
      </c>
      <c r="E128" s="16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x14ac:dyDescent="0.25">
      <c r="A129" s="9" t="s">
        <v>163</v>
      </c>
      <c r="B129" s="10" t="s">
        <v>33</v>
      </c>
      <c r="C129" s="13">
        <v>41131</v>
      </c>
      <c r="D129" s="9" t="s">
        <v>328</v>
      </c>
      <c r="E129" s="16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72">
        <v>223.89</v>
      </c>
      <c r="O129" s="155">
        <v>41274</v>
      </c>
      <c r="P129" s="13" t="s">
        <v>24</v>
      </c>
      <c r="Q129" s="63" t="s">
        <v>285</v>
      </c>
      <c r="R129" s="10" t="s">
        <v>14</v>
      </c>
    </row>
    <row r="130" spans="1:20" x14ac:dyDescent="0.25">
      <c r="A130" s="9" t="s">
        <v>163</v>
      </c>
      <c r="B130" s="10" t="s">
        <v>33</v>
      </c>
      <c r="C130" s="13">
        <v>41214</v>
      </c>
      <c r="D130" s="9" t="s">
        <v>429</v>
      </c>
      <c r="E130" s="16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72"/>
      <c r="O130" s="155"/>
      <c r="P130" s="13" t="s">
        <v>24</v>
      </c>
      <c r="Q130" s="63" t="s">
        <v>285</v>
      </c>
      <c r="R130" s="10" t="s">
        <v>14</v>
      </c>
    </row>
    <row r="131" spans="1:20" x14ac:dyDescent="0.25">
      <c r="A131" s="9" t="s">
        <v>163</v>
      </c>
      <c r="B131" s="10" t="s">
        <v>35</v>
      </c>
      <c r="C131" s="13">
        <v>41204</v>
      </c>
      <c r="D131" s="9" t="s">
        <v>340</v>
      </c>
      <c r="E131" s="16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x14ac:dyDescent="0.25">
      <c r="A132" s="9" t="s">
        <v>163</v>
      </c>
      <c r="B132" s="90" t="s">
        <v>35</v>
      </c>
      <c r="C132" s="13">
        <v>41323</v>
      </c>
      <c r="D132" s="89" t="s">
        <v>322</v>
      </c>
      <c r="E132" s="16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x14ac:dyDescent="0.25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x14ac:dyDescent="0.25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x14ac:dyDescent="0.25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x14ac:dyDescent="0.25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68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x14ac:dyDescent="0.25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69"/>
      <c r="O137" s="13">
        <v>41608</v>
      </c>
      <c r="R137" s="90" t="s">
        <v>14</v>
      </c>
      <c r="S137" s="90"/>
      <c r="T137" s="10"/>
    </row>
    <row r="138" spans="1:20" x14ac:dyDescent="0.25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69"/>
      <c r="O138" s="13">
        <v>41608</v>
      </c>
      <c r="R138" s="90" t="s">
        <v>14</v>
      </c>
      <c r="S138" s="90"/>
    </row>
    <row r="139" spans="1:20" x14ac:dyDescent="0.25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69"/>
      <c r="R139" s="90" t="s">
        <v>14</v>
      </c>
      <c r="S139" s="90"/>
    </row>
    <row r="140" spans="1:20" x14ac:dyDescent="0.25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70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6.4" x14ac:dyDescent="0.25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26.4" x14ac:dyDescent="0.25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71" t="s">
        <v>437</v>
      </c>
      <c r="Q142" s="171"/>
      <c r="R142" s="90" t="s">
        <v>14</v>
      </c>
      <c r="S142" s="90" t="s">
        <v>553</v>
      </c>
    </row>
    <row r="143" spans="1:20" x14ac:dyDescent="0.25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x14ac:dyDescent="0.25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x14ac:dyDescent="0.25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x14ac:dyDescent="0.25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x14ac:dyDescent="0.25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x14ac:dyDescent="0.25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6.4" x14ac:dyDescent="0.25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x14ac:dyDescent="0.25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1">G150-I150-J150</f>
        <v>17.800000000000011</v>
      </c>
      <c r="R150" s="90" t="s">
        <v>14</v>
      </c>
      <c r="S150" s="90"/>
    </row>
    <row r="151" spans="1:19" x14ac:dyDescent="0.25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1"/>
        <v>62.900000000000006</v>
      </c>
      <c r="R151" s="90" t="s">
        <v>14</v>
      </c>
      <c r="S151" s="90"/>
    </row>
    <row r="152" spans="1:19" ht="26.4" x14ac:dyDescent="0.25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x14ac:dyDescent="0.25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1"/>
        <v>83.5</v>
      </c>
      <c r="R153" s="90" t="s">
        <v>14</v>
      </c>
      <c r="S153" s="90"/>
    </row>
    <row r="154" spans="1:19" x14ac:dyDescent="0.25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1"/>
        <v>18</v>
      </c>
      <c r="R154" s="90" t="s">
        <v>14</v>
      </c>
      <c r="S154" s="90"/>
    </row>
    <row r="155" spans="1:19" x14ac:dyDescent="0.25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1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x14ac:dyDescent="0.25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1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x14ac:dyDescent="0.25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x14ac:dyDescent="0.25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x14ac:dyDescent="0.25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x14ac:dyDescent="0.25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x14ac:dyDescent="0.25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x14ac:dyDescent="0.25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x14ac:dyDescent="0.25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x14ac:dyDescent="0.25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x14ac:dyDescent="0.25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x14ac:dyDescent="0.25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39.6" x14ac:dyDescent="0.25">
      <c r="A167" s="89" t="s">
        <v>163</v>
      </c>
      <c r="B167" s="90" t="s">
        <v>35</v>
      </c>
      <c r="C167" s="89" t="s">
        <v>460</v>
      </c>
      <c r="D167" s="89" t="s">
        <v>461</v>
      </c>
      <c r="E167" s="16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6.4" x14ac:dyDescent="0.25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39.6" x14ac:dyDescent="0.25">
      <c r="A169" s="9" t="s">
        <v>175</v>
      </c>
      <c r="B169" s="10" t="s">
        <v>465</v>
      </c>
      <c r="C169" s="10" t="s">
        <v>466</v>
      </c>
      <c r="D169" s="9" t="s">
        <v>467</v>
      </c>
      <c r="E169" s="10"/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9.6" x14ac:dyDescent="0.25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6.4" x14ac:dyDescent="0.25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x14ac:dyDescent="0.25">
      <c r="A172" s="9" t="s">
        <v>163</v>
      </c>
      <c r="B172" s="10" t="s">
        <v>35</v>
      </c>
      <c r="C172" s="106" t="s">
        <v>473</v>
      </c>
      <c r="E172" s="16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x14ac:dyDescent="0.25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6.4" x14ac:dyDescent="0.25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x14ac:dyDescent="0.25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6.4" x14ac:dyDescent="0.25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6.4" x14ac:dyDescent="0.25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6.4" x14ac:dyDescent="0.25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9.6" x14ac:dyDescent="0.25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x14ac:dyDescent="0.25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6.4" x14ac:dyDescent="0.25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6.4" x14ac:dyDescent="0.25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6.4" x14ac:dyDescent="0.25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x14ac:dyDescent="0.25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6.4" x14ac:dyDescent="0.25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6.4" x14ac:dyDescent="0.25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9.6" x14ac:dyDescent="0.25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6.4" x14ac:dyDescent="0.25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9.6" x14ac:dyDescent="0.25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x14ac:dyDescent="0.25">
      <c r="A190" s="9" t="s">
        <v>163</v>
      </c>
      <c r="B190" s="10" t="s">
        <v>33</v>
      </c>
      <c r="C190" s="13">
        <v>42249</v>
      </c>
      <c r="D190" s="9" t="s">
        <v>497</v>
      </c>
      <c r="E190" s="16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ht="39.6" x14ac:dyDescent="0.25">
      <c r="A191" s="9" t="s">
        <v>163</v>
      </c>
      <c r="B191" s="10" t="s">
        <v>35</v>
      </c>
      <c r="C191" s="9" t="s">
        <v>517</v>
      </c>
      <c r="D191" s="9" t="s">
        <v>541</v>
      </c>
      <c r="E191" s="16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2.8" x14ac:dyDescent="0.25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1">
        <v>42328</v>
      </c>
    </row>
    <row r="193" spans="1:20" ht="39.6" x14ac:dyDescent="0.25">
      <c r="A193" s="9" t="s">
        <v>287</v>
      </c>
      <c r="B193" s="9" t="s">
        <v>523</v>
      </c>
      <c r="C193" s="13">
        <v>42359</v>
      </c>
      <c r="D193" s="9" t="s">
        <v>524</v>
      </c>
      <c r="E193" s="13">
        <v>42361</v>
      </c>
      <c r="F193" s="11">
        <v>5080</v>
      </c>
      <c r="G193" s="12">
        <v>788</v>
      </c>
      <c r="J193" s="12">
        <v>709.2</v>
      </c>
      <c r="L193" s="12">
        <v>78.8</v>
      </c>
      <c r="N193" s="12" t="s">
        <v>526</v>
      </c>
      <c r="O193" s="13">
        <v>42414</v>
      </c>
      <c r="P193" s="16" t="s">
        <v>527</v>
      </c>
      <c r="Q193" s="63" t="s">
        <v>285</v>
      </c>
      <c r="R193" s="10" t="s">
        <v>14</v>
      </c>
      <c r="S193" s="90" t="s">
        <v>553</v>
      </c>
    </row>
    <row r="194" spans="1:20" x14ac:dyDescent="0.25">
      <c r="A194" s="9" t="s">
        <v>287</v>
      </c>
      <c r="B194" s="10" t="s">
        <v>33</v>
      </c>
      <c r="C194" s="13">
        <v>42382</v>
      </c>
      <c r="D194" s="9" t="s">
        <v>525</v>
      </c>
      <c r="E194" s="13">
        <v>42397</v>
      </c>
      <c r="F194" s="11">
        <v>5080</v>
      </c>
      <c r="G194" s="12">
        <f>95*2</f>
        <v>190</v>
      </c>
      <c r="J194" s="12">
        <v>126</v>
      </c>
      <c r="L194" s="12">
        <f>G194-J194</f>
        <v>64</v>
      </c>
      <c r="M194" s="38">
        <v>78.8</v>
      </c>
      <c r="N194" s="12">
        <v>142.80000000000001</v>
      </c>
      <c r="O194" s="13">
        <v>42414</v>
      </c>
      <c r="P194" s="91" t="s">
        <v>476</v>
      </c>
      <c r="Q194" s="63" t="s">
        <v>285</v>
      </c>
      <c r="R194" s="10" t="s">
        <v>14</v>
      </c>
      <c r="S194" s="13">
        <v>42425</v>
      </c>
    </row>
    <row r="195" spans="1:20" x14ac:dyDescent="0.25">
      <c r="A195" s="9" t="s">
        <v>528</v>
      </c>
      <c r="B195" s="10" t="s">
        <v>529</v>
      </c>
      <c r="C195" s="13">
        <v>42331</v>
      </c>
      <c r="D195" s="9" t="s">
        <v>530</v>
      </c>
      <c r="E195" s="10"/>
      <c r="G195" s="12">
        <v>21.75</v>
      </c>
      <c r="L195" s="12">
        <v>21.75</v>
      </c>
      <c r="N195" s="12">
        <v>21.75</v>
      </c>
      <c r="O195" s="13">
        <v>42331</v>
      </c>
      <c r="P195" s="13" t="s">
        <v>47</v>
      </c>
      <c r="Q195" s="63" t="s">
        <v>285</v>
      </c>
      <c r="R195" s="10" t="s">
        <v>14</v>
      </c>
      <c r="S195" s="13">
        <v>42331</v>
      </c>
    </row>
    <row r="196" spans="1:20" x14ac:dyDescent="0.25">
      <c r="A196" s="9" t="s">
        <v>532</v>
      </c>
      <c r="C196" s="13">
        <v>42364</v>
      </c>
      <c r="D196" s="9" t="s">
        <v>533</v>
      </c>
      <c r="E196" s="10"/>
      <c r="G196" s="12">
        <v>25.84</v>
      </c>
      <c r="L196" s="12">
        <v>25.84</v>
      </c>
      <c r="N196" s="12">
        <v>25.84</v>
      </c>
      <c r="O196" s="13">
        <v>42364</v>
      </c>
      <c r="P196" s="13" t="s">
        <v>47</v>
      </c>
      <c r="Q196" s="63" t="s">
        <v>285</v>
      </c>
      <c r="R196" s="10" t="s">
        <v>14</v>
      </c>
      <c r="S196" s="13">
        <v>42364</v>
      </c>
    </row>
    <row r="197" spans="1:20" ht="26.4" x14ac:dyDescent="0.25">
      <c r="A197" s="9" t="s">
        <v>163</v>
      </c>
      <c r="B197" s="90" t="s">
        <v>35</v>
      </c>
      <c r="C197" s="89" t="s">
        <v>566</v>
      </c>
      <c r="D197" s="89" t="s">
        <v>567</v>
      </c>
      <c r="E197" s="16">
        <v>42339</v>
      </c>
      <c r="F197" s="11">
        <v>27965</v>
      </c>
      <c r="G197" s="12">
        <v>14.7</v>
      </c>
      <c r="I197" s="96" t="s">
        <v>542</v>
      </c>
      <c r="L197" s="12">
        <v>14.7</v>
      </c>
      <c r="N197" s="12">
        <v>14.7</v>
      </c>
      <c r="O197" s="13">
        <v>42369</v>
      </c>
      <c r="P197" s="13" t="s">
        <v>47</v>
      </c>
      <c r="Q197" s="63" t="s">
        <v>285</v>
      </c>
      <c r="R197" s="10" t="s">
        <v>14</v>
      </c>
      <c r="S197" s="13">
        <v>42369</v>
      </c>
    </row>
    <row r="198" spans="1:20" x14ac:dyDescent="0.25">
      <c r="A198" s="9" t="s">
        <v>534</v>
      </c>
      <c r="B198" s="10" t="s">
        <v>63</v>
      </c>
      <c r="E198" s="13">
        <v>42378</v>
      </c>
      <c r="G198" s="12">
        <v>12.11</v>
      </c>
      <c r="L198" s="12">
        <v>12.11</v>
      </c>
      <c r="N198" s="12">
        <v>12.11</v>
      </c>
      <c r="O198" s="13">
        <v>42378</v>
      </c>
      <c r="P198" s="13" t="s">
        <v>531</v>
      </c>
      <c r="Q198" s="63" t="s">
        <v>285</v>
      </c>
      <c r="R198" s="10" t="s">
        <v>14</v>
      </c>
      <c r="S198" s="13">
        <v>42378</v>
      </c>
    </row>
    <row r="199" spans="1:20" x14ac:dyDescent="0.25">
      <c r="A199" s="9" t="s">
        <v>532</v>
      </c>
      <c r="B199" s="10" t="s">
        <v>10</v>
      </c>
      <c r="E199" s="13">
        <v>42394</v>
      </c>
      <c r="G199" s="12">
        <v>235.4</v>
      </c>
      <c r="L199" s="12">
        <v>235.4</v>
      </c>
      <c r="N199" s="12">
        <v>235.4</v>
      </c>
      <c r="O199" s="13">
        <v>42394</v>
      </c>
      <c r="P199" s="13" t="s">
        <v>47</v>
      </c>
      <c r="Q199" s="63" t="s">
        <v>285</v>
      </c>
      <c r="R199" s="10" t="s">
        <v>14</v>
      </c>
      <c r="S199" s="13">
        <v>42394</v>
      </c>
    </row>
    <row r="200" spans="1:20" x14ac:dyDescent="0.25">
      <c r="A200" s="9" t="s">
        <v>532</v>
      </c>
      <c r="B200" s="10" t="s">
        <v>33</v>
      </c>
      <c r="D200" s="10" t="s">
        <v>535</v>
      </c>
      <c r="E200" s="13">
        <v>42415</v>
      </c>
      <c r="G200" s="12">
        <v>73.62</v>
      </c>
      <c r="L200" s="12">
        <v>73.62</v>
      </c>
      <c r="N200" s="12">
        <v>73.62</v>
      </c>
      <c r="O200" s="13">
        <v>42415</v>
      </c>
      <c r="P200" s="13" t="s">
        <v>47</v>
      </c>
      <c r="Q200" s="63" t="s">
        <v>285</v>
      </c>
      <c r="S200" s="13">
        <v>42415</v>
      </c>
    </row>
    <row r="201" spans="1:20" ht="26.4" x14ac:dyDescent="0.25">
      <c r="A201" s="9" t="s">
        <v>171</v>
      </c>
      <c r="B201" s="10" t="s">
        <v>33</v>
      </c>
      <c r="C201" s="10" t="s">
        <v>536</v>
      </c>
      <c r="D201" s="9" t="s">
        <v>537</v>
      </c>
      <c r="E201" s="13">
        <v>42419</v>
      </c>
      <c r="F201" s="11" t="s">
        <v>538</v>
      </c>
      <c r="G201" s="12">
        <v>1605.95</v>
      </c>
      <c r="H201" s="12">
        <v>1244</v>
      </c>
      <c r="L201" s="12">
        <v>361.95</v>
      </c>
      <c r="N201" s="12">
        <v>361.95</v>
      </c>
      <c r="O201" s="13">
        <v>42426</v>
      </c>
      <c r="P201" s="91" t="s">
        <v>47</v>
      </c>
      <c r="Q201" s="92" t="s">
        <v>285</v>
      </c>
      <c r="R201" s="90" t="s">
        <v>14</v>
      </c>
      <c r="S201" s="13">
        <v>42426</v>
      </c>
      <c r="T201" s="91" t="s">
        <v>539</v>
      </c>
    </row>
    <row r="202" spans="1:20" ht="39.6" x14ac:dyDescent="0.25">
      <c r="A202" s="9" t="s">
        <v>163</v>
      </c>
      <c r="B202" s="10" t="s">
        <v>35</v>
      </c>
      <c r="C202" s="9" t="s">
        <v>540</v>
      </c>
      <c r="D202" s="9" t="s">
        <v>541</v>
      </c>
      <c r="E202" s="16">
        <v>42368</v>
      </c>
      <c r="F202" s="11">
        <v>27965</v>
      </c>
      <c r="G202" s="12">
        <f>68*7</f>
        <v>476</v>
      </c>
      <c r="I202" s="12">
        <v>366</v>
      </c>
      <c r="J202" s="12">
        <f>(41.73+2.43)*4</f>
        <v>176.64</v>
      </c>
      <c r="L202" s="12">
        <v>38.119999999999997</v>
      </c>
      <c r="N202" s="96"/>
      <c r="O202" s="13">
        <v>42488</v>
      </c>
      <c r="P202" s="91" t="s">
        <v>24</v>
      </c>
      <c r="Q202" s="63" t="s">
        <v>285</v>
      </c>
      <c r="R202" s="90" t="s">
        <v>14</v>
      </c>
    </row>
    <row r="203" spans="1:20" x14ac:dyDescent="0.25">
      <c r="A203" s="89" t="s">
        <v>163</v>
      </c>
      <c r="B203" s="90" t="s">
        <v>35</v>
      </c>
      <c r="C203" s="13">
        <v>42389</v>
      </c>
      <c r="D203" s="89" t="s">
        <v>541</v>
      </c>
      <c r="E203" s="16">
        <v>42403</v>
      </c>
      <c r="F203" s="11">
        <v>27965</v>
      </c>
      <c r="G203" s="12">
        <v>68</v>
      </c>
      <c r="I203" s="12">
        <v>230</v>
      </c>
      <c r="J203" s="12">
        <f>(41.73+2.43)*2</f>
        <v>88.32</v>
      </c>
      <c r="L203" s="12">
        <f>52.82-M203</f>
        <v>14.700000000000003</v>
      </c>
      <c r="M203" s="110">
        <v>38.119999999999997</v>
      </c>
      <c r="N203" s="96"/>
      <c r="O203" s="13">
        <v>42488</v>
      </c>
      <c r="P203" s="91" t="s">
        <v>24</v>
      </c>
      <c r="Q203" s="63" t="s">
        <v>285</v>
      </c>
      <c r="R203" s="90" t="s">
        <v>14</v>
      </c>
    </row>
    <row r="204" spans="1:20" x14ac:dyDescent="0.25">
      <c r="A204" s="89" t="s">
        <v>163</v>
      </c>
      <c r="B204" s="90" t="s">
        <v>35</v>
      </c>
      <c r="C204" s="90" t="s">
        <v>543</v>
      </c>
      <c r="D204" s="89" t="s">
        <v>541</v>
      </c>
      <c r="E204" s="16">
        <v>42431</v>
      </c>
      <c r="F204" s="11">
        <v>27965</v>
      </c>
      <c r="G204" s="12">
        <f>68*2</f>
        <v>136</v>
      </c>
      <c r="I204" s="12">
        <v>230</v>
      </c>
      <c r="L204" s="12">
        <f>164.36-M204</f>
        <v>111.54000000000002</v>
      </c>
      <c r="M204" s="38">
        <v>52.82</v>
      </c>
      <c r="N204" s="12">
        <v>164.36</v>
      </c>
      <c r="O204" s="13">
        <v>42488</v>
      </c>
      <c r="P204" s="91" t="s">
        <v>24</v>
      </c>
      <c r="Q204" s="63" t="s">
        <v>285</v>
      </c>
      <c r="R204" s="90" t="s">
        <v>14</v>
      </c>
      <c r="S204" s="13">
        <v>42499</v>
      </c>
      <c r="T204" s="89" t="s">
        <v>545</v>
      </c>
    </row>
    <row r="205" spans="1:20" x14ac:dyDescent="0.25">
      <c r="A205" s="89" t="s">
        <v>481</v>
      </c>
      <c r="B205" s="90" t="s">
        <v>35</v>
      </c>
      <c r="C205" s="13">
        <v>42360</v>
      </c>
      <c r="D205" s="89" t="s">
        <v>544</v>
      </c>
      <c r="E205" s="13">
        <v>42374</v>
      </c>
      <c r="F205" s="11">
        <v>2824</v>
      </c>
      <c r="G205" s="12">
        <v>279</v>
      </c>
      <c r="H205" s="12">
        <v>93.74</v>
      </c>
      <c r="J205" s="12">
        <v>166.74</v>
      </c>
      <c r="L205" s="12">
        <v>18.52</v>
      </c>
      <c r="N205" s="12">
        <v>18.52</v>
      </c>
      <c r="O205" s="13">
        <v>42488</v>
      </c>
      <c r="P205" s="91" t="s">
        <v>24</v>
      </c>
      <c r="Q205" s="92" t="s">
        <v>285</v>
      </c>
      <c r="R205" s="90" t="s">
        <v>14</v>
      </c>
      <c r="S205" s="13">
        <v>42500</v>
      </c>
      <c r="T205" s="89" t="s">
        <v>545</v>
      </c>
    </row>
    <row r="206" spans="1:20" ht="39.6" x14ac:dyDescent="0.25">
      <c r="A206" s="89" t="s">
        <v>175</v>
      </c>
      <c r="B206" s="90" t="s">
        <v>52</v>
      </c>
      <c r="C206" s="13">
        <v>42362</v>
      </c>
      <c r="D206" s="89" t="s">
        <v>556</v>
      </c>
      <c r="E206" s="13">
        <v>42596</v>
      </c>
      <c r="F206" s="95" t="s">
        <v>555</v>
      </c>
      <c r="G206" s="12">
        <v>240</v>
      </c>
      <c r="H206" s="12">
        <v>110.79</v>
      </c>
      <c r="J206" s="12">
        <v>116.29</v>
      </c>
      <c r="L206" s="12">
        <v>12.92</v>
      </c>
      <c r="N206" s="12">
        <v>12.92</v>
      </c>
      <c r="O206" s="13">
        <v>42638</v>
      </c>
      <c r="P206" s="91" t="s">
        <v>562</v>
      </c>
      <c r="Q206" s="92" t="s">
        <v>285</v>
      </c>
      <c r="R206" s="90" t="s">
        <v>14</v>
      </c>
      <c r="S206" s="13">
        <v>42639</v>
      </c>
      <c r="T206" s="89" t="s">
        <v>554</v>
      </c>
    </row>
    <row r="207" spans="1:20" x14ac:dyDescent="0.25">
      <c r="A207" s="89" t="s">
        <v>534</v>
      </c>
      <c r="B207" s="10" t="s">
        <v>63</v>
      </c>
      <c r="C207" s="91" t="s">
        <v>10</v>
      </c>
      <c r="D207" s="89"/>
      <c r="E207" s="13"/>
      <c r="L207" s="12">
        <v>121.19</v>
      </c>
      <c r="O207" s="13">
        <v>42446</v>
      </c>
      <c r="P207" s="91"/>
      <c r="Q207" s="92"/>
      <c r="R207" s="90" t="s">
        <v>14</v>
      </c>
      <c r="S207" s="13">
        <v>42446</v>
      </c>
      <c r="T207" s="89"/>
    </row>
    <row r="208" spans="1:20" x14ac:dyDescent="0.25">
      <c r="A208" s="89" t="s">
        <v>426</v>
      </c>
      <c r="B208" s="90" t="s">
        <v>52</v>
      </c>
      <c r="C208" s="90" t="s">
        <v>10</v>
      </c>
      <c r="D208" s="89" t="s">
        <v>303</v>
      </c>
      <c r="E208" s="10"/>
      <c r="N208" s="12">
        <v>110.52</v>
      </c>
      <c r="O208" s="13">
        <v>42448</v>
      </c>
      <c r="Q208" s="92" t="s">
        <v>559</v>
      </c>
      <c r="R208" s="90" t="s">
        <v>14</v>
      </c>
      <c r="S208" s="13">
        <v>42448</v>
      </c>
    </row>
    <row r="209" spans="1:20" ht="27" thickBot="1" x14ac:dyDescent="0.3">
      <c r="A209" s="89" t="s">
        <v>546</v>
      </c>
      <c r="B209" s="90" t="s">
        <v>33</v>
      </c>
      <c r="C209" s="90" t="s">
        <v>547</v>
      </c>
      <c r="D209" s="89" t="s">
        <v>548</v>
      </c>
      <c r="E209" s="13">
        <v>42460</v>
      </c>
      <c r="F209" s="11">
        <v>20012013</v>
      </c>
      <c r="G209" s="12">
        <f>383+1234</f>
        <v>1617</v>
      </c>
      <c r="H209" s="12">
        <f>97.44+838.72</f>
        <v>936.16000000000008</v>
      </c>
      <c r="L209" s="12">
        <f>285.56+395.28</f>
        <v>680.83999999999992</v>
      </c>
      <c r="N209" s="12">
        <v>680.84</v>
      </c>
      <c r="O209" s="13">
        <v>42491</v>
      </c>
      <c r="P209" s="91" t="s">
        <v>24</v>
      </c>
      <c r="Q209" s="92" t="s">
        <v>285</v>
      </c>
      <c r="R209" s="90" t="s">
        <v>14</v>
      </c>
      <c r="S209" s="13">
        <v>42501</v>
      </c>
    </row>
    <row r="210" spans="1:20" ht="27" thickBot="1" x14ac:dyDescent="0.3">
      <c r="A210" s="89" t="s">
        <v>171</v>
      </c>
      <c r="B210" s="90" t="s">
        <v>33</v>
      </c>
      <c r="C210" s="90" t="s">
        <v>549</v>
      </c>
      <c r="D210" s="89" t="s">
        <v>550</v>
      </c>
      <c r="E210" s="13">
        <v>42454</v>
      </c>
      <c r="F210" s="95" t="s">
        <v>538</v>
      </c>
      <c r="G210" s="12">
        <f>70+73+152+140+73+152+140+152+140+152+140+152</f>
        <v>1536</v>
      </c>
      <c r="I210" s="12">
        <f>33.4+34.77+71.48+66.8+34.77+71.48+66.8+71.48+66.8+71.48+66.8+71.48</f>
        <v>727.54</v>
      </c>
      <c r="L210" s="12">
        <f>36.6+38.23+80.52+73.2+38.23+80.52+73.2+80.52+73.2+80.52+73.2+80.52</f>
        <v>808.46</v>
      </c>
      <c r="N210" s="119">
        <v>867.37</v>
      </c>
      <c r="O210" s="13">
        <v>42606</v>
      </c>
      <c r="P210" s="91" t="s">
        <v>47</v>
      </c>
      <c r="Q210" s="92" t="s">
        <v>285</v>
      </c>
      <c r="R210" s="90" t="s">
        <v>14</v>
      </c>
      <c r="S210" s="13">
        <v>42606</v>
      </c>
      <c r="T210" s="91" t="s">
        <v>539</v>
      </c>
    </row>
    <row r="211" spans="1:20" x14ac:dyDescent="0.25">
      <c r="A211" s="89" t="s">
        <v>457</v>
      </c>
      <c r="B211" s="90" t="s">
        <v>33</v>
      </c>
      <c r="C211" s="13">
        <v>42381</v>
      </c>
      <c r="D211" s="89" t="s">
        <v>551</v>
      </c>
      <c r="E211" s="13">
        <v>42418</v>
      </c>
      <c r="F211" s="11">
        <v>3871407713</v>
      </c>
      <c r="G211" s="12">
        <v>350.86</v>
      </c>
      <c r="H211" s="12">
        <v>261.92</v>
      </c>
      <c r="L211" s="12">
        <v>88.94</v>
      </c>
      <c r="N211" s="12">
        <v>88.94</v>
      </c>
      <c r="O211" s="13">
        <v>42491</v>
      </c>
      <c r="P211" s="91" t="s">
        <v>24</v>
      </c>
      <c r="Q211" s="92" t="s">
        <v>285</v>
      </c>
      <c r="R211" s="90" t="s">
        <v>14</v>
      </c>
      <c r="S211" s="13">
        <v>42491</v>
      </c>
    </row>
    <row r="212" spans="1:20" ht="26.4" x14ac:dyDescent="0.25">
      <c r="A212" s="89" t="s">
        <v>434</v>
      </c>
      <c r="B212" s="90" t="s">
        <v>33</v>
      </c>
      <c r="C212" s="13">
        <v>42381</v>
      </c>
      <c r="D212" s="89" t="s">
        <v>435</v>
      </c>
      <c r="E212" s="13">
        <v>42436</v>
      </c>
      <c r="F212" s="95" t="s">
        <v>552</v>
      </c>
      <c r="G212" s="12">
        <v>99</v>
      </c>
      <c r="J212" s="111">
        <v>99</v>
      </c>
      <c r="O212" s="13">
        <v>42494</v>
      </c>
      <c r="P212" s="171" t="s">
        <v>437</v>
      </c>
      <c r="Q212" s="171"/>
      <c r="R212" s="90" t="s">
        <v>14</v>
      </c>
      <c r="S212" s="90" t="s">
        <v>553</v>
      </c>
    </row>
    <row r="213" spans="1:20" x14ac:dyDescent="0.25">
      <c r="A213" s="89" t="s">
        <v>287</v>
      </c>
      <c r="B213" s="90" t="s">
        <v>557</v>
      </c>
      <c r="C213" s="90" t="s">
        <v>558</v>
      </c>
      <c r="E213" s="10"/>
      <c r="G213" s="12">
        <v>362.8</v>
      </c>
      <c r="J213" s="12">
        <f>165.6+88.2</f>
        <v>253.8</v>
      </c>
      <c r="L213" s="12">
        <f>G213-J213</f>
        <v>109</v>
      </c>
    </row>
    <row r="214" spans="1:20" x14ac:dyDescent="0.25">
      <c r="A214" s="89" t="s">
        <v>287</v>
      </c>
      <c r="B214" s="90" t="s">
        <v>52</v>
      </c>
      <c r="C214" s="13">
        <v>42580</v>
      </c>
      <c r="D214" s="89" t="s">
        <v>572</v>
      </c>
      <c r="E214" s="13">
        <v>42608</v>
      </c>
      <c r="F214" s="11">
        <v>5080</v>
      </c>
      <c r="G214" s="12">
        <f>65+75+44</f>
        <v>184</v>
      </c>
      <c r="J214" s="12">
        <v>165.6</v>
      </c>
      <c r="L214" s="12">
        <f>G214-J214</f>
        <v>18.400000000000006</v>
      </c>
      <c r="M214" s="38">
        <v>109</v>
      </c>
      <c r="N214" s="12">
        <v>127.4</v>
      </c>
      <c r="O214" s="13">
        <v>42640</v>
      </c>
      <c r="P214" s="91" t="s">
        <v>476</v>
      </c>
      <c r="Q214" s="92" t="s">
        <v>285</v>
      </c>
    </row>
    <row r="215" spans="1:20" x14ac:dyDescent="0.25">
      <c r="A215" s="89" t="s">
        <v>500</v>
      </c>
      <c r="B215" s="90" t="s">
        <v>33</v>
      </c>
      <c r="C215" s="90" t="s">
        <v>560</v>
      </c>
      <c r="D215" s="89" t="s">
        <v>561</v>
      </c>
      <c r="E215" s="13">
        <v>42556</v>
      </c>
      <c r="F215" s="95" t="s">
        <v>502</v>
      </c>
      <c r="L215" s="12">
        <v>183.7</v>
      </c>
      <c r="N215" s="12">
        <v>183.7</v>
      </c>
      <c r="O215" s="13">
        <v>42593</v>
      </c>
      <c r="P215" s="91" t="s">
        <v>47</v>
      </c>
      <c r="Q215" s="92" t="s">
        <v>285</v>
      </c>
      <c r="R215" s="90" t="s">
        <v>14</v>
      </c>
      <c r="S215" s="13">
        <v>42593</v>
      </c>
      <c r="T215" s="89" t="s">
        <v>563</v>
      </c>
    </row>
    <row r="216" spans="1:20" s="22" customFormat="1" x14ac:dyDescent="0.25">
      <c r="A216" s="121" t="s">
        <v>500</v>
      </c>
      <c r="B216" s="122" t="s">
        <v>33</v>
      </c>
      <c r="C216" s="23">
        <v>42593</v>
      </c>
      <c r="D216" s="121" t="s">
        <v>561</v>
      </c>
      <c r="E216" s="23">
        <v>42614</v>
      </c>
      <c r="F216" s="123" t="s">
        <v>502</v>
      </c>
      <c r="G216" s="26">
        <v>167</v>
      </c>
      <c r="H216" s="26"/>
      <c r="I216" s="26"/>
      <c r="J216" s="26">
        <v>150.30000000000001</v>
      </c>
      <c r="K216" s="26"/>
      <c r="L216" s="26">
        <f>G216-J216</f>
        <v>16.699999999999989</v>
      </c>
      <c r="M216" s="40"/>
      <c r="N216" s="26">
        <v>16.7</v>
      </c>
      <c r="O216" s="23">
        <v>42688</v>
      </c>
      <c r="P216" s="124" t="s">
        <v>47</v>
      </c>
      <c r="Q216" s="125" t="s">
        <v>285</v>
      </c>
      <c r="R216" s="122" t="s">
        <v>14</v>
      </c>
      <c r="T216" s="121" t="s">
        <v>563</v>
      </c>
    </row>
    <row r="217" spans="1:20" s="117" customFormat="1" x14ac:dyDescent="0.25">
      <c r="A217" s="112" t="s">
        <v>500</v>
      </c>
      <c r="B217" s="113" t="s">
        <v>33</v>
      </c>
      <c r="C217" s="94">
        <v>42688</v>
      </c>
      <c r="D217" s="112" t="s">
        <v>561</v>
      </c>
      <c r="E217" s="94">
        <v>42731</v>
      </c>
      <c r="F217" s="114" t="s">
        <v>502</v>
      </c>
      <c r="G217" s="74">
        <f>167+173</f>
        <v>340</v>
      </c>
      <c r="H217" s="74">
        <v>57.71</v>
      </c>
      <c r="I217" s="74"/>
      <c r="J217" s="74">
        <v>254.07</v>
      </c>
      <c r="K217" s="74"/>
      <c r="L217" s="74">
        <f>G217-H217-J217</f>
        <v>28.220000000000027</v>
      </c>
      <c r="M217" s="115"/>
      <c r="N217" s="74"/>
      <c r="O217" s="94"/>
      <c r="P217" s="94"/>
      <c r="Q217" s="116"/>
      <c r="T217" s="118" t="s">
        <v>599</v>
      </c>
    </row>
    <row r="218" spans="1:20" ht="92.4" x14ac:dyDescent="0.25">
      <c r="A218" s="9" t="s">
        <v>163</v>
      </c>
      <c r="B218" s="90" t="s">
        <v>35</v>
      </c>
      <c r="C218" s="89" t="s">
        <v>591</v>
      </c>
      <c r="D218" s="89" t="s">
        <v>589</v>
      </c>
      <c r="E218" s="16">
        <v>42683</v>
      </c>
      <c r="F218" s="11">
        <v>27965</v>
      </c>
      <c r="G218" s="12">
        <v>1840</v>
      </c>
      <c r="J218" s="12">
        <v>1057.22</v>
      </c>
      <c r="L218" s="12">
        <v>265.7</v>
      </c>
      <c r="N218" s="12">
        <v>265.7</v>
      </c>
      <c r="O218" s="13">
        <v>42685</v>
      </c>
      <c r="P218" s="13" t="s">
        <v>564</v>
      </c>
      <c r="Q218" s="63" t="s">
        <v>285</v>
      </c>
      <c r="R218" s="10" t="s">
        <v>14</v>
      </c>
      <c r="T218" s="9" t="s">
        <v>565</v>
      </c>
    </row>
    <row r="219" spans="1:20" ht="26.4" x14ac:dyDescent="0.25">
      <c r="A219" s="89" t="s">
        <v>481</v>
      </c>
      <c r="B219" s="90" t="s">
        <v>33</v>
      </c>
      <c r="C219" s="90" t="s">
        <v>570</v>
      </c>
      <c r="D219" s="89" t="s">
        <v>571</v>
      </c>
      <c r="E219" s="13">
        <v>42768</v>
      </c>
      <c r="F219" s="11">
        <v>10974</v>
      </c>
      <c r="G219" s="12">
        <f>577+294+294</f>
        <v>1165</v>
      </c>
      <c r="H219" s="12">
        <f>184.42+93.54+93.54</f>
        <v>371.5</v>
      </c>
      <c r="J219" s="12">
        <f>353.33+180.42</f>
        <v>533.75</v>
      </c>
      <c r="L219" s="12">
        <f>G219-H219-J219</f>
        <v>259.75</v>
      </c>
      <c r="N219" s="74">
        <v>259.75</v>
      </c>
      <c r="O219" s="94">
        <v>42820</v>
      </c>
      <c r="P219" s="126" t="s">
        <v>24</v>
      </c>
      <c r="Q219" s="127" t="s">
        <v>595</v>
      </c>
      <c r="T219" s="89" t="s">
        <v>590</v>
      </c>
    </row>
    <row r="220" spans="1:20" x14ac:dyDescent="0.25">
      <c r="A220" s="89" t="s">
        <v>457</v>
      </c>
      <c r="B220" s="90" t="s">
        <v>35</v>
      </c>
      <c r="C220" s="13">
        <v>42541</v>
      </c>
      <c r="D220" s="89" t="s">
        <v>417</v>
      </c>
      <c r="E220" s="13">
        <v>42705</v>
      </c>
      <c r="F220" s="11">
        <v>4249056002</v>
      </c>
      <c r="G220" s="12">
        <f>32.45+129.79+54.08+129.79+122.04+41.1+125.47+40.51+10+57.93+117.79+26.8+139.87</f>
        <v>1027.6199999999999</v>
      </c>
      <c r="H220" s="12">
        <v>883.17</v>
      </c>
      <c r="J220" s="12">
        <v>130.05000000000001</v>
      </c>
      <c r="L220" s="12">
        <f>G220-H220-J220</f>
        <v>14.39999999999992</v>
      </c>
      <c r="N220" s="12">
        <v>14.4</v>
      </c>
      <c r="O220" s="13">
        <v>42805</v>
      </c>
      <c r="P220" s="91" t="s">
        <v>462</v>
      </c>
      <c r="Q220" s="92" t="s">
        <v>71</v>
      </c>
      <c r="R220" s="90" t="s">
        <v>14</v>
      </c>
      <c r="T220" s="89" t="s">
        <v>573</v>
      </c>
    </row>
    <row r="221" spans="1:20" s="117" customFormat="1" ht="52.8" x14ac:dyDescent="0.25">
      <c r="A221" s="118" t="s">
        <v>574</v>
      </c>
      <c r="B221" s="117" t="s">
        <v>33</v>
      </c>
      <c r="C221" s="94">
        <v>42244</v>
      </c>
      <c r="D221" s="118" t="s">
        <v>390</v>
      </c>
      <c r="E221" s="118" t="s">
        <v>598</v>
      </c>
      <c r="F221" s="129">
        <v>46079</v>
      </c>
      <c r="G221" s="74">
        <f>32+97+15</f>
        <v>144</v>
      </c>
      <c r="H221" s="74">
        <f>14.95+15</f>
        <v>29.95</v>
      </c>
      <c r="I221" s="74"/>
      <c r="J221" s="74">
        <v>15.35</v>
      </c>
      <c r="K221" s="74">
        <f>112.52-98.7</f>
        <v>13.819999999999993</v>
      </c>
      <c r="L221" s="74">
        <f>G221-H221-J221+K221</f>
        <v>112.52</v>
      </c>
      <c r="M221" s="115"/>
      <c r="N221" s="74"/>
      <c r="O221" s="94"/>
      <c r="P221" s="94"/>
      <c r="Q221" s="116"/>
      <c r="T221" s="118" t="s">
        <v>575</v>
      </c>
    </row>
    <row r="222" spans="1:20" x14ac:dyDescent="0.25">
      <c r="A222" s="9" t="s">
        <v>287</v>
      </c>
      <c r="B222" s="10" t="s">
        <v>35</v>
      </c>
      <c r="C222" s="13">
        <v>42670</v>
      </c>
      <c r="D222" s="118" t="s">
        <v>80</v>
      </c>
      <c r="E222" s="117"/>
      <c r="F222" s="11">
        <v>5080</v>
      </c>
      <c r="G222" s="12" t="s">
        <v>80</v>
      </c>
      <c r="J222" s="12">
        <v>145.5</v>
      </c>
      <c r="L222" s="74"/>
      <c r="M222" s="115"/>
      <c r="Q222" s="63" t="s">
        <v>586</v>
      </c>
      <c r="R222" s="10" t="s">
        <v>585</v>
      </c>
    </row>
    <row r="223" spans="1:20" x14ac:dyDescent="0.25">
      <c r="A223" s="9" t="s">
        <v>287</v>
      </c>
      <c r="B223" s="10" t="s">
        <v>35</v>
      </c>
      <c r="C223" s="13" t="s">
        <v>577</v>
      </c>
      <c r="D223" s="9" t="s">
        <v>576</v>
      </c>
      <c r="E223" s="13">
        <v>42703</v>
      </c>
      <c r="F223" s="11">
        <v>5080</v>
      </c>
      <c r="G223" s="12">
        <f>235+285+262+151</f>
        <v>933</v>
      </c>
      <c r="J223" s="74">
        <v>628.20000000000005</v>
      </c>
      <c r="L223" s="12">
        <f>G223-J223</f>
        <v>304.79999999999995</v>
      </c>
      <c r="M223" s="38">
        <f>278.5-145.5</f>
        <v>133</v>
      </c>
      <c r="Q223" s="63" t="s">
        <v>586</v>
      </c>
      <c r="R223" s="10" t="s">
        <v>585</v>
      </c>
    </row>
    <row r="224" spans="1:20" ht="26.4" x14ac:dyDescent="0.25">
      <c r="A224" s="9" t="s">
        <v>287</v>
      </c>
      <c r="B224" s="10" t="s">
        <v>35</v>
      </c>
      <c r="C224" s="13">
        <v>42705</v>
      </c>
      <c r="D224" s="9" t="s">
        <v>578</v>
      </c>
      <c r="E224" s="13">
        <v>42725</v>
      </c>
      <c r="F224" s="11">
        <v>5080</v>
      </c>
      <c r="G224" s="12">
        <f>995</f>
        <v>995</v>
      </c>
      <c r="J224" s="74"/>
      <c r="L224" s="12">
        <v>995</v>
      </c>
      <c r="M224" s="38">
        <v>781</v>
      </c>
      <c r="Q224" s="63" t="s">
        <v>586</v>
      </c>
      <c r="R224" s="10" t="s">
        <v>585</v>
      </c>
      <c r="T224" s="9" t="s">
        <v>579</v>
      </c>
    </row>
    <row r="225" spans="1:19" ht="26.4" x14ac:dyDescent="0.25">
      <c r="A225" s="9" t="s">
        <v>287</v>
      </c>
      <c r="B225" s="90" t="s">
        <v>592</v>
      </c>
      <c r="C225" s="91" t="s">
        <v>593</v>
      </c>
      <c r="D225" s="121" t="s">
        <v>594</v>
      </c>
      <c r="E225" s="23">
        <v>42762</v>
      </c>
      <c r="F225" s="11">
        <v>5080</v>
      </c>
      <c r="G225" s="26">
        <f>65+48+75+44+29+210</f>
        <v>471</v>
      </c>
      <c r="J225" s="12">
        <v>215.1</v>
      </c>
      <c r="L225" s="26">
        <v>2153.1</v>
      </c>
      <c r="M225" s="40">
        <v>2061</v>
      </c>
      <c r="Q225" s="63" t="s">
        <v>586</v>
      </c>
      <c r="R225" s="10" t="s">
        <v>585</v>
      </c>
    </row>
    <row r="226" spans="1:19" x14ac:dyDescent="0.25">
      <c r="A226" s="9" t="s">
        <v>287</v>
      </c>
      <c r="B226" s="10" t="s">
        <v>581</v>
      </c>
      <c r="C226" s="10" t="s">
        <v>580</v>
      </c>
      <c r="D226" s="9" t="s">
        <v>582</v>
      </c>
      <c r="E226" s="13">
        <v>42793</v>
      </c>
      <c r="F226" s="11">
        <v>5080</v>
      </c>
      <c r="G226" s="12">
        <f>65+48+75+44+65+98+72+44+65+98+72+65+48+75+44</f>
        <v>978</v>
      </c>
      <c r="J226" s="12">
        <f>208.8+251.1+211.5+208.8</f>
        <v>880.2</v>
      </c>
      <c r="L226" s="12">
        <f>M226+G226-J226-J225</f>
        <v>2182.7000000000003</v>
      </c>
      <c r="M226" s="38">
        <v>2300</v>
      </c>
      <c r="N226" s="12">
        <v>2182.6999999999998</v>
      </c>
      <c r="O226" s="13">
        <v>42819</v>
      </c>
      <c r="P226" s="13" t="s">
        <v>583</v>
      </c>
      <c r="Q226" s="63" t="s">
        <v>584</v>
      </c>
      <c r="R226" s="10" t="s">
        <v>14</v>
      </c>
    </row>
    <row r="227" spans="1:19" ht="26.4" x14ac:dyDescent="0.25">
      <c r="A227" s="9" t="s">
        <v>163</v>
      </c>
      <c r="B227" s="10" t="s">
        <v>35</v>
      </c>
      <c r="C227" s="9" t="s">
        <v>587</v>
      </c>
      <c r="D227" s="89" t="s">
        <v>589</v>
      </c>
      <c r="E227" s="107" t="s">
        <v>597</v>
      </c>
      <c r="F227" s="11">
        <v>27965</v>
      </c>
      <c r="G227" s="12">
        <f>62+6+62+6+62+6+62+6+62+6+62+6</f>
        <v>408</v>
      </c>
      <c r="J227" s="74">
        <f>41.73+2.07+41.73+2.07+41.73+2.07+38.79+2.07+38.79+2.07</f>
        <v>213.11999999999995</v>
      </c>
      <c r="L227" s="12">
        <v>23.66</v>
      </c>
      <c r="N227" s="12">
        <v>23.66</v>
      </c>
      <c r="O227" s="13">
        <v>42819</v>
      </c>
      <c r="P227" s="91" t="s">
        <v>24</v>
      </c>
      <c r="Q227" s="92" t="s">
        <v>588</v>
      </c>
      <c r="R227" s="90" t="s">
        <v>14</v>
      </c>
    </row>
    <row r="228" spans="1:19" x14ac:dyDescent="0.25">
      <c r="A228" s="89" t="s">
        <v>163</v>
      </c>
      <c r="B228" s="90" t="s">
        <v>33</v>
      </c>
      <c r="C228" s="13">
        <v>42767</v>
      </c>
      <c r="D228" s="89" t="s">
        <v>596</v>
      </c>
      <c r="E228" s="16">
        <v>42803</v>
      </c>
      <c r="F228" s="11">
        <v>26357</v>
      </c>
      <c r="G228" s="12">
        <v>262</v>
      </c>
      <c r="J228" s="12">
        <v>73.84</v>
      </c>
      <c r="L228" s="12">
        <f>G228-J228</f>
        <v>188.16</v>
      </c>
    </row>
    <row r="229" spans="1:19" ht="39.6" x14ac:dyDescent="0.25">
      <c r="A229" s="89" t="s">
        <v>163</v>
      </c>
      <c r="B229" s="90" t="s">
        <v>35</v>
      </c>
      <c r="C229" s="16" t="s">
        <v>602</v>
      </c>
      <c r="D229" s="9" t="s">
        <v>589</v>
      </c>
      <c r="E229" s="16">
        <v>42836</v>
      </c>
      <c r="F229" s="11">
        <v>27965</v>
      </c>
      <c r="G229" s="12">
        <f>68+68+68+68+68*4+68*2</f>
        <v>680</v>
      </c>
      <c r="H229" s="12">
        <f>(18.9+3.7)*9</f>
        <v>203.39999999999998</v>
      </c>
      <c r="J229" s="12">
        <f>40.86+68</f>
        <v>108.86</v>
      </c>
      <c r="L229" s="12">
        <f>G229-H229-J229</f>
        <v>367.74</v>
      </c>
      <c r="N229" s="12">
        <v>367.74</v>
      </c>
      <c r="O229" s="13">
        <v>42868</v>
      </c>
      <c r="P229" s="13" t="s">
        <v>24</v>
      </c>
      <c r="Q229" s="63" t="s">
        <v>603</v>
      </c>
    </row>
    <row r="230" spans="1:19" ht="39.6" x14ac:dyDescent="0.25">
      <c r="A230" s="9" t="s">
        <v>287</v>
      </c>
      <c r="B230" s="10" t="s">
        <v>35</v>
      </c>
      <c r="C230" s="10" t="s">
        <v>600</v>
      </c>
      <c r="D230" s="9" t="s">
        <v>601</v>
      </c>
      <c r="E230" s="16">
        <v>42853</v>
      </c>
      <c r="F230" s="11">
        <v>5080</v>
      </c>
      <c r="G230" s="12">
        <f>315+65+98+156+180+180+151</f>
        <v>1145</v>
      </c>
      <c r="J230" s="12">
        <f>238.5+146.7+600.3</f>
        <v>985.5</v>
      </c>
      <c r="L230" s="12">
        <f>G230-J230</f>
        <v>159.5</v>
      </c>
      <c r="N230" s="12">
        <v>159.5</v>
      </c>
      <c r="O230" s="13">
        <v>42868</v>
      </c>
      <c r="P230" s="13" t="s">
        <v>24</v>
      </c>
      <c r="Q230" s="63" t="s">
        <v>604</v>
      </c>
      <c r="R230" s="10" t="s">
        <v>14</v>
      </c>
    </row>
    <row r="231" spans="1:19" x14ac:dyDescent="0.25">
      <c r="A231" s="89" t="s">
        <v>163</v>
      </c>
      <c r="B231" s="90" t="s">
        <v>33</v>
      </c>
      <c r="C231" s="13">
        <v>42873</v>
      </c>
      <c r="D231" s="89" t="s">
        <v>605</v>
      </c>
      <c r="E231" s="16">
        <v>42894</v>
      </c>
      <c r="F231" s="11">
        <v>35224</v>
      </c>
      <c r="G231" s="12">
        <v>178</v>
      </c>
      <c r="J231" s="12">
        <v>51.32</v>
      </c>
      <c r="L231" s="12">
        <v>126.68</v>
      </c>
      <c r="N231" s="12">
        <v>126.68</v>
      </c>
      <c r="O231" s="13">
        <v>42925</v>
      </c>
      <c r="P231" s="91" t="s">
        <v>24</v>
      </c>
      <c r="Q231" s="92" t="s">
        <v>609</v>
      </c>
      <c r="R231" s="90" t="s">
        <v>14</v>
      </c>
    </row>
    <row r="232" spans="1:19" ht="39.6" x14ac:dyDescent="0.25">
      <c r="A232" s="89" t="s">
        <v>163</v>
      </c>
      <c r="B232" s="90" t="s">
        <v>35</v>
      </c>
      <c r="C232" s="89" t="s">
        <v>607</v>
      </c>
      <c r="D232" s="89" t="s">
        <v>606</v>
      </c>
      <c r="E232" s="16">
        <v>42894</v>
      </c>
      <c r="F232" s="11">
        <v>27965</v>
      </c>
      <c r="G232" s="12">
        <f>68*5+178</f>
        <v>518</v>
      </c>
      <c r="J232" s="12">
        <f>18.9*5+3.7+3.9*4+51.32</f>
        <v>165.12</v>
      </c>
      <c r="L232" s="12">
        <f>G232-J232</f>
        <v>352.88</v>
      </c>
      <c r="N232" s="12">
        <v>352.88</v>
      </c>
      <c r="O232" s="13">
        <v>42925</v>
      </c>
      <c r="P232" s="91" t="s">
        <v>24</v>
      </c>
      <c r="Q232" s="92" t="s">
        <v>608</v>
      </c>
      <c r="R232" s="90" t="s">
        <v>14</v>
      </c>
    </row>
    <row r="233" spans="1:19" x14ac:dyDescent="0.25">
      <c r="A233" s="9" t="s">
        <v>610</v>
      </c>
      <c r="B233" s="10" t="s">
        <v>63</v>
      </c>
      <c r="C233" s="13">
        <v>42940</v>
      </c>
      <c r="D233" s="9" t="s">
        <v>611</v>
      </c>
      <c r="G233" s="12">
        <v>124</v>
      </c>
      <c r="L233" s="12">
        <v>124</v>
      </c>
      <c r="N233" s="12">
        <v>124</v>
      </c>
      <c r="O233" s="13">
        <v>42941</v>
      </c>
      <c r="P233" s="13" t="s">
        <v>522</v>
      </c>
      <c r="Q233" s="92" t="s">
        <v>285</v>
      </c>
      <c r="R233" s="10" t="s">
        <v>14</v>
      </c>
    </row>
    <row r="234" spans="1:19" ht="26.4" x14ac:dyDescent="0.25">
      <c r="A234" s="89" t="s">
        <v>287</v>
      </c>
      <c r="B234" s="90" t="s">
        <v>612</v>
      </c>
      <c r="C234" s="90" t="s">
        <v>613</v>
      </c>
      <c r="D234" s="89" t="s">
        <v>614</v>
      </c>
      <c r="E234" s="16">
        <v>42969</v>
      </c>
      <c r="F234" s="11">
        <v>5080</v>
      </c>
      <c r="G234" s="12">
        <v>614</v>
      </c>
      <c r="J234" s="12">
        <v>552.6</v>
      </c>
      <c r="L234" s="12">
        <v>61.4</v>
      </c>
      <c r="N234" s="12">
        <v>61.4</v>
      </c>
      <c r="O234" s="13">
        <v>42987</v>
      </c>
      <c r="P234" s="91" t="s">
        <v>24</v>
      </c>
      <c r="Q234" s="92" t="s">
        <v>615</v>
      </c>
      <c r="R234" s="90" t="s">
        <v>14</v>
      </c>
    </row>
    <row r="235" spans="1:19" ht="26.4" x14ac:dyDescent="0.25">
      <c r="A235" s="89" t="s">
        <v>163</v>
      </c>
      <c r="B235" s="90" t="s">
        <v>10</v>
      </c>
      <c r="C235" s="90" t="s">
        <v>80</v>
      </c>
      <c r="D235" s="89" t="s">
        <v>619</v>
      </c>
      <c r="E235" s="89" t="s">
        <v>10</v>
      </c>
      <c r="F235" s="95" t="s">
        <v>10</v>
      </c>
      <c r="N235" s="12">
        <v>183.7</v>
      </c>
      <c r="O235" s="13">
        <v>42987</v>
      </c>
      <c r="P235" s="91" t="s">
        <v>24</v>
      </c>
      <c r="Q235" s="92" t="s">
        <v>620</v>
      </c>
      <c r="R235" s="90" t="s">
        <v>14</v>
      </c>
    </row>
    <row r="236" spans="1:19" ht="26.4" x14ac:dyDescent="0.25">
      <c r="A236" s="89" t="s">
        <v>163</v>
      </c>
      <c r="B236" s="90" t="s">
        <v>35</v>
      </c>
      <c r="C236" s="130" t="s">
        <v>616</v>
      </c>
      <c r="D236" s="89" t="s">
        <v>617</v>
      </c>
      <c r="E236" s="16">
        <v>42979</v>
      </c>
      <c r="F236" s="11">
        <v>27965</v>
      </c>
      <c r="G236" s="12">
        <f>62*6+6*5+12</f>
        <v>414</v>
      </c>
      <c r="J236" s="96">
        <f>18.9*6+3.9*3+7+3.5*2</f>
        <v>139.1</v>
      </c>
      <c r="L236" s="12">
        <f>G236-J236</f>
        <v>274.89999999999998</v>
      </c>
      <c r="N236" s="12">
        <v>274.89999999999998</v>
      </c>
      <c r="O236" s="13">
        <v>43002</v>
      </c>
      <c r="P236" s="91" t="s">
        <v>24</v>
      </c>
      <c r="Q236" s="92" t="s">
        <v>618</v>
      </c>
      <c r="R236" s="90" t="s">
        <v>14</v>
      </c>
    </row>
    <row r="237" spans="1:19" x14ac:dyDescent="0.25">
      <c r="A237" s="9" t="s">
        <v>621</v>
      </c>
      <c r="B237" s="10" t="s">
        <v>35</v>
      </c>
      <c r="C237" s="13">
        <v>42837</v>
      </c>
      <c r="D237" s="9" t="s">
        <v>622</v>
      </c>
      <c r="E237" s="16">
        <v>43005</v>
      </c>
      <c r="F237" s="11" t="s">
        <v>623</v>
      </c>
      <c r="G237" s="12">
        <v>300</v>
      </c>
      <c r="J237" s="12">
        <v>0</v>
      </c>
      <c r="L237" s="12">
        <v>300</v>
      </c>
      <c r="N237" s="12">
        <v>300</v>
      </c>
      <c r="O237" s="13">
        <v>43043</v>
      </c>
      <c r="P237" s="13" t="s">
        <v>24</v>
      </c>
      <c r="Q237" s="63" t="s">
        <v>624</v>
      </c>
      <c r="R237" s="10" t="s">
        <v>14</v>
      </c>
    </row>
    <row r="238" spans="1:19" x14ac:dyDescent="0.25">
      <c r="A238" s="9" t="s">
        <v>287</v>
      </c>
      <c r="B238" s="10" t="s">
        <v>626</v>
      </c>
      <c r="C238" s="10" t="s">
        <v>625</v>
      </c>
      <c r="D238" s="9" t="s">
        <v>627</v>
      </c>
      <c r="E238" s="16">
        <v>43061</v>
      </c>
      <c r="F238" s="11">
        <v>5080</v>
      </c>
      <c r="G238" s="12">
        <f>180+99+99</f>
        <v>378</v>
      </c>
      <c r="J238" s="12">
        <f>162+89.1+89.1</f>
        <v>340.2</v>
      </c>
      <c r="L238" s="12">
        <f>G238-J238</f>
        <v>37.800000000000011</v>
      </c>
      <c r="N238" s="12">
        <v>37.799999999999997</v>
      </c>
      <c r="O238" s="13">
        <v>43066</v>
      </c>
      <c r="P238" s="13" t="s">
        <v>24</v>
      </c>
      <c r="Q238" s="63" t="s">
        <v>628</v>
      </c>
      <c r="R238" s="10" t="s">
        <v>14</v>
      </c>
    </row>
    <row r="239" spans="1:19" x14ac:dyDescent="0.25">
      <c r="A239" s="89" t="s">
        <v>610</v>
      </c>
      <c r="B239" s="90" t="s">
        <v>284</v>
      </c>
      <c r="C239" s="13">
        <v>43040</v>
      </c>
      <c r="D239" s="89" t="s">
        <v>629</v>
      </c>
      <c r="E239" s="16">
        <v>43105</v>
      </c>
      <c r="F239" s="11">
        <v>11056</v>
      </c>
      <c r="G239" s="12">
        <v>143</v>
      </c>
      <c r="L239" s="12">
        <v>143</v>
      </c>
      <c r="N239" s="12">
        <v>143</v>
      </c>
      <c r="O239" s="13">
        <v>43151</v>
      </c>
      <c r="P239" s="91" t="s">
        <v>47</v>
      </c>
      <c r="Q239" s="92" t="s">
        <v>285</v>
      </c>
      <c r="R239" s="90" t="s">
        <v>14</v>
      </c>
      <c r="S239" s="13">
        <v>43153</v>
      </c>
    </row>
    <row r="240" spans="1:19" ht="52.8" x14ac:dyDescent="0.25">
      <c r="A240" s="9" t="s">
        <v>163</v>
      </c>
      <c r="B240" s="10" t="s">
        <v>35</v>
      </c>
      <c r="C240" s="9" t="s">
        <v>630</v>
      </c>
      <c r="D240" s="9" t="s">
        <v>617</v>
      </c>
      <c r="E240" s="16">
        <v>43104</v>
      </c>
      <c r="F240" s="11">
        <v>27965</v>
      </c>
      <c r="G240" s="12">
        <f>68*9</f>
        <v>612</v>
      </c>
      <c r="H240" s="12">
        <f>(18.9+3.5)*9</f>
        <v>201.6</v>
      </c>
      <c r="J240" s="12">
        <f>(38.79+2.25)*4</f>
        <v>164.16</v>
      </c>
      <c r="L240" s="12">
        <f>45.6*5+4.56*4</f>
        <v>246.24</v>
      </c>
      <c r="N240" s="12">
        <f>G240-H240-J240</f>
        <v>246.23999999999998</v>
      </c>
      <c r="O240" s="13">
        <v>43152</v>
      </c>
      <c r="P240" s="13" t="s">
        <v>24</v>
      </c>
      <c r="Q240" s="63" t="s">
        <v>285</v>
      </c>
      <c r="R240" s="10" t="s">
        <v>14</v>
      </c>
      <c r="S240" s="13">
        <v>43160</v>
      </c>
    </row>
    <row r="241" spans="1:20" x14ac:dyDescent="0.25">
      <c r="A241" s="9" t="s">
        <v>163</v>
      </c>
      <c r="B241" s="10" t="s">
        <v>284</v>
      </c>
      <c r="C241" s="13">
        <v>43061</v>
      </c>
      <c r="D241" s="9" t="s">
        <v>631</v>
      </c>
      <c r="E241" s="16">
        <v>43104</v>
      </c>
      <c r="F241" s="11">
        <v>35226</v>
      </c>
      <c r="G241" s="12">
        <f>208+27</f>
        <v>235</v>
      </c>
      <c r="H241" s="12">
        <f>81.32+14.76</f>
        <v>96.08</v>
      </c>
      <c r="J241" s="12">
        <f>75.16+11.02</f>
        <v>86.179999999999993</v>
      </c>
      <c r="L241" s="12">
        <f>G241-H241-J241</f>
        <v>52.740000000000023</v>
      </c>
      <c r="N241" s="12">
        <v>52.74</v>
      </c>
      <c r="O241" s="13">
        <v>43152</v>
      </c>
      <c r="P241" s="13" t="s">
        <v>24</v>
      </c>
      <c r="Q241" s="63" t="s">
        <v>285</v>
      </c>
      <c r="R241" s="10" t="s">
        <v>14</v>
      </c>
      <c r="S241" s="13">
        <v>43160</v>
      </c>
    </row>
    <row r="242" spans="1:20" x14ac:dyDescent="0.25">
      <c r="A242" s="9" t="s">
        <v>389</v>
      </c>
      <c r="B242" s="10" t="s">
        <v>35</v>
      </c>
      <c r="C242" s="13">
        <v>43076</v>
      </c>
      <c r="D242" s="9" t="s">
        <v>632</v>
      </c>
      <c r="E242" s="16">
        <v>43141</v>
      </c>
      <c r="F242" s="11">
        <v>10010467719</v>
      </c>
      <c r="G242" s="12">
        <v>451</v>
      </c>
      <c r="H242" s="12">
        <v>144.9</v>
      </c>
      <c r="J242" s="12">
        <v>275.49</v>
      </c>
      <c r="L242" s="12">
        <f>G242-H242-J242</f>
        <v>30.610000000000014</v>
      </c>
      <c r="N242" s="12">
        <v>30.61</v>
      </c>
      <c r="O242" s="13">
        <v>43153</v>
      </c>
      <c r="P242" s="13" t="s">
        <v>24</v>
      </c>
      <c r="Q242" s="63" t="s">
        <v>285</v>
      </c>
      <c r="R242" s="10" t="s">
        <v>14</v>
      </c>
    </row>
    <row r="243" spans="1:20" x14ac:dyDescent="0.25">
      <c r="A243" s="9" t="s">
        <v>389</v>
      </c>
      <c r="B243" s="10" t="s">
        <v>284</v>
      </c>
      <c r="C243" s="13">
        <v>43061</v>
      </c>
      <c r="D243" s="9" t="s">
        <v>633</v>
      </c>
      <c r="E243" s="16">
        <v>43139</v>
      </c>
      <c r="F243" s="11">
        <v>10010373123</v>
      </c>
      <c r="G243" s="12">
        <v>130.30000000000001</v>
      </c>
      <c r="H243" s="12">
        <v>73.180000000000007</v>
      </c>
      <c r="J243" s="12">
        <v>51.42</v>
      </c>
      <c r="L243" s="12">
        <f>G243-H243-J243</f>
        <v>5.7000000000000028</v>
      </c>
      <c r="N243" s="12">
        <v>5.7</v>
      </c>
      <c r="O243" s="13">
        <v>43153</v>
      </c>
      <c r="P243" s="13" t="s">
        <v>24</v>
      </c>
      <c r="Q243" s="63" t="s">
        <v>285</v>
      </c>
      <c r="R243" s="10" t="s">
        <v>14</v>
      </c>
    </row>
    <row r="244" spans="1:20" x14ac:dyDescent="0.25">
      <c r="A244" s="89" t="s">
        <v>457</v>
      </c>
      <c r="B244" s="90" t="s">
        <v>35</v>
      </c>
      <c r="C244" s="13">
        <v>42942</v>
      </c>
      <c r="D244" s="89" t="s">
        <v>417</v>
      </c>
      <c r="E244" s="16">
        <v>43132</v>
      </c>
      <c r="F244" s="11">
        <v>5330547545</v>
      </c>
      <c r="G244" s="12">
        <v>798.36</v>
      </c>
      <c r="H244" s="12">
        <v>685.78</v>
      </c>
      <c r="J244" s="12">
        <v>64.319999999999993</v>
      </c>
      <c r="L244" s="12">
        <v>48.26</v>
      </c>
      <c r="N244" s="12">
        <v>48.26</v>
      </c>
      <c r="O244" s="13">
        <v>43153</v>
      </c>
      <c r="P244" s="91" t="s">
        <v>684</v>
      </c>
      <c r="Q244" s="92" t="s">
        <v>285</v>
      </c>
      <c r="R244" s="90" t="s">
        <v>14</v>
      </c>
      <c r="S244" s="13">
        <v>43159</v>
      </c>
    </row>
    <row r="245" spans="1:20" x14ac:dyDescent="0.25">
      <c r="A245" s="89" t="s">
        <v>287</v>
      </c>
      <c r="B245" s="90" t="s">
        <v>636</v>
      </c>
      <c r="C245" s="13">
        <v>43140</v>
      </c>
      <c r="D245" s="89" t="s">
        <v>635</v>
      </c>
      <c r="E245" s="132">
        <v>43158</v>
      </c>
      <c r="F245" s="11">
        <v>5080</v>
      </c>
      <c r="G245" s="97">
        <f>2*(66+76+45)+49+73</f>
        <v>496</v>
      </c>
      <c r="J245" s="97">
        <f>212.4+234</f>
        <v>446.4</v>
      </c>
      <c r="L245" s="97">
        <f>G245-J245</f>
        <v>49.600000000000023</v>
      </c>
      <c r="N245" s="145" t="s">
        <v>728</v>
      </c>
      <c r="O245" s="13">
        <v>43198</v>
      </c>
      <c r="P245" s="91" t="s">
        <v>638</v>
      </c>
      <c r="Q245" s="92" t="s">
        <v>637</v>
      </c>
      <c r="R245" s="90" t="s">
        <v>14</v>
      </c>
    </row>
    <row r="246" spans="1:20" x14ac:dyDescent="0.25">
      <c r="A246" s="89" t="s">
        <v>287</v>
      </c>
      <c r="B246" s="90" t="s">
        <v>634</v>
      </c>
      <c r="C246" s="13">
        <v>43173</v>
      </c>
      <c r="D246" s="89" t="s">
        <v>635</v>
      </c>
      <c r="E246" s="16">
        <v>43182</v>
      </c>
      <c r="F246" s="11">
        <v>5080</v>
      </c>
      <c r="G246" s="12">
        <f>45+66+99+73</f>
        <v>283</v>
      </c>
      <c r="J246" s="12">
        <v>254.7</v>
      </c>
      <c r="L246" s="12">
        <f>G246-J246</f>
        <v>28.300000000000011</v>
      </c>
      <c r="M246" s="38">
        <f>496-212.4-234</f>
        <v>49.600000000000023</v>
      </c>
      <c r="N246" s="12">
        <v>77.900000000000006</v>
      </c>
      <c r="O246" s="13">
        <v>43198</v>
      </c>
      <c r="P246" s="91" t="s">
        <v>638</v>
      </c>
      <c r="Q246" s="92" t="s">
        <v>637</v>
      </c>
      <c r="R246" s="90" t="s">
        <v>14</v>
      </c>
      <c r="S246" s="13">
        <v>43217</v>
      </c>
    </row>
    <row r="247" spans="1:20" x14ac:dyDescent="0.25">
      <c r="A247" s="89" t="s">
        <v>163</v>
      </c>
      <c r="B247" s="90" t="s">
        <v>52</v>
      </c>
      <c r="C247" s="91" t="s">
        <v>640</v>
      </c>
      <c r="D247" s="89" t="s">
        <v>639</v>
      </c>
      <c r="E247" s="16">
        <v>43192</v>
      </c>
      <c r="F247" s="11">
        <v>35224</v>
      </c>
      <c r="G247" s="12">
        <v>208</v>
      </c>
      <c r="J247" s="12">
        <v>81.319999999999993</v>
      </c>
      <c r="L247" s="12">
        <v>126.68</v>
      </c>
      <c r="N247" s="12">
        <v>126.68</v>
      </c>
      <c r="O247" s="13">
        <v>43198</v>
      </c>
      <c r="P247" s="91" t="s">
        <v>24</v>
      </c>
      <c r="Q247" s="92" t="s">
        <v>285</v>
      </c>
      <c r="R247" s="90" t="s">
        <v>14</v>
      </c>
      <c r="S247" s="13">
        <v>43206</v>
      </c>
    </row>
    <row r="248" spans="1:20" ht="52.8" x14ac:dyDescent="0.25">
      <c r="A248" s="89" t="s">
        <v>163</v>
      </c>
      <c r="B248" s="90" t="s">
        <v>35</v>
      </c>
      <c r="C248" s="131" t="s">
        <v>641</v>
      </c>
      <c r="D248" s="89" t="s">
        <v>617</v>
      </c>
      <c r="E248" s="16">
        <v>43192</v>
      </c>
      <c r="F248" s="11">
        <v>27965</v>
      </c>
      <c r="G248" s="12">
        <f>68*11</f>
        <v>748</v>
      </c>
      <c r="H248" s="12">
        <f>(18.9+3.5)+(18.9+3.7)*10</f>
        <v>248.39999999999998</v>
      </c>
      <c r="J248" s="12">
        <f>38.79+2.25</f>
        <v>41.04</v>
      </c>
      <c r="L248" s="12">
        <f>G248-H248-J248</f>
        <v>458.56</v>
      </c>
      <c r="N248" s="12">
        <v>458.56</v>
      </c>
      <c r="O248" s="13">
        <v>43198</v>
      </c>
      <c r="P248" s="91" t="s">
        <v>24</v>
      </c>
      <c r="Q248" s="92" t="s">
        <v>285</v>
      </c>
      <c r="R248" s="90" t="s">
        <v>14</v>
      </c>
      <c r="S248" s="13">
        <v>43206</v>
      </c>
    </row>
    <row r="249" spans="1:20" x14ac:dyDescent="0.25">
      <c r="A249" s="89" t="s">
        <v>287</v>
      </c>
      <c r="B249" s="90" t="s">
        <v>719</v>
      </c>
      <c r="C249" s="131" t="s">
        <v>726</v>
      </c>
      <c r="D249" s="89" t="s">
        <v>727</v>
      </c>
      <c r="E249" s="16">
        <v>43216</v>
      </c>
      <c r="F249" s="11">
        <v>5080</v>
      </c>
      <c r="G249" s="12">
        <f>2*(66+99+73)</f>
        <v>476</v>
      </c>
      <c r="J249" s="12">
        <f>214.2*2</f>
        <v>428.4</v>
      </c>
      <c r="L249" s="12">
        <f>G249-J249</f>
        <v>47.600000000000023</v>
      </c>
      <c r="N249" s="144" t="s">
        <v>728</v>
      </c>
      <c r="O249" s="13">
        <v>43261</v>
      </c>
      <c r="P249" s="91"/>
      <c r="Q249" s="92"/>
      <c r="R249" s="90"/>
      <c r="S249" s="13"/>
    </row>
    <row r="250" spans="1:20" x14ac:dyDescent="0.25">
      <c r="A250" s="89" t="s">
        <v>287</v>
      </c>
      <c r="B250" s="90" t="s">
        <v>35</v>
      </c>
      <c r="C250" s="90" t="s">
        <v>642</v>
      </c>
      <c r="E250" s="16">
        <v>43244</v>
      </c>
      <c r="F250" s="11">
        <v>5080</v>
      </c>
      <c r="G250" s="12">
        <f>30</f>
        <v>30</v>
      </c>
      <c r="J250" s="12">
        <v>27</v>
      </c>
      <c r="L250" s="12">
        <v>3</v>
      </c>
      <c r="M250" s="38">
        <v>47.6</v>
      </c>
      <c r="N250" s="12">
        <v>50.6</v>
      </c>
      <c r="O250" s="13">
        <v>43261</v>
      </c>
      <c r="P250" s="91" t="s">
        <v>24</v>
      </c>
      <c r="Q250" s="92" t="s">
        <v>643</v>
      </c>
      <c r="R250" s="90" t="s">
        <v>14</v>
      </c>
    </row>
    <row r="251" spans="1:20" x14ac:dyDescent="0.25">
      <c r="A251" s="89" t="s">
        <v>481</v>
      </c>
      <c r="B251" s="90" t="s">
        <v>35</v>
      </c>
      <c r="C251" s="10">
        <v>2824</v>
      </c>
      <c r="E251" s="16">
        <v>43243</v>
      </c>
      <c r="F251" s="11">
        <v>2824</v>
      </c>
      <c r="G251" s="12">
        <v>279</v>
      </c>
      <c r="J251" s="12">
        <v>90.84</v>
      </c>
      <c r="L251" s="12">
        <v>188.16</v>
      </c>
      <c r="N251" s="12">
        <v>188.16</v>
      </c>
      <c r="O251" s="13">
        <v>43261</v>
      </c>
      <c r="P251" s="91" t="s">
        <v>24</v>
      </c>
      <c r="Q251" s="92" t="s">
        <v>285</v>
      </c>
      <c r="R251" s="90" t="s">
        <v>14</v>
      </c>
    </row>
    <row r="252" spans="1:20" ht="26.4" x14ac:dyDescent="0.25">
      <c r="A252" s="89" t="s">
        <v>163</v>
      </c>
      <c r="B252" s="90" t="s">
        <v>33</v>
      </c>
      <c r="C252" s="13">
        <v>43213</v>
      </c>
      <c r="D252" s="89" t="s">
        <v>644</v>
      </c>
      <c r="E252" s="16">
        <v>43252</v>
      </c>
      <c r="F252" s="10">
        <v>26357</v>
      </c>
      <c r="G252" s="12">
        <f>215+62+54+108</f>
        <v>439</v>
      </c>
      <c r="H252" s="12">
        <f>88.32+18.9+11.15+46.09</f>
        <v>164.46</v>
      </c>
      <c r="J252" s="12">
        <f>43.1+42.85</f>
        <v>85.95</v>
      </c>
      <c r="L252" s="12">
        <v>188.59</v>
      </c>
      <c r="N252" s="12">
        <v>188.59</v>
      </c>
      <c r="O252" s="13">
        <v>43261</v>
      </c>
      <c r="P252" s="91" t="s">
        <v>24</v>
      </c>
      <c r="Q252" s="92" t="s">
        <v>285</v>
      </c>
    </row>
    <row r="253" spans="1:20" ht="26.4" x14ac:dyDescent="0.25">
      <c r="A253" s="89" t="s">
        <v>163</v>
      </c>
      <c r="B253" s="90" t="s">
        <v>35</v>
      </c>
      <c r="C253" s="9" t="s">
        <v>723</v>
      </c>
      <c r="D253" s="9" t="s">
        <v>724</v>
      </c>
      <c r="E253" s="9" t="s">
        <v>725</v>
      </c>
      <c r="F253" s="10">
        <v>27965</v>
      </c>
      <c r="G253" s="12">
        <f>62*7+6*2+12*4+215+(50+9+6.01)+24+31+217</f>
        <v>1046.01</v>
      </c>
      <c r="H253" s="12">
        <f>18.9*7+3.7*2+9.1*4+88.32+20.86+4.99+3.59+18.2+9.15+65.8</f>
        <v>387.00999999999993</v>
      </c>
      <c r="L253" s="12">
        <f>45.4*2+46+162.25+48.9+46*3</f>
        <v>485.95</v>
      </c>
      <c r="N253" s="12">
        <v>485.95</v>
      </c>
      <c r="O253" s="13">
        <v>43261</v>
      </c>
      <c r="P253" s="91" t="s">
        <v>24</v>
      </c>
      <c r="Q253" s="92" t="s">
        <v>285</v>
      </c>
      <c r="R253" s="90" t="s">
        <v>14</v>
      </c>
    </row>
    <row r="254" spans="1:20" ht="26.4" x14ac:dyDescent="0.25">
      <c r="A254" s="89" t="s">
        <v>645</v>
      </c>
      <c r="B254" s="90" t="s">
        <v>33</v>
      </c>
      <c r="C254" s="90" t="s">
        <v>646</v>
      </c>
      <c r="D254" s="89" t="s">
        <v>647</v>
      </c>
      <c r="E254" s="16">
        <v>43231</v>
      </c>
      <c r="G254" s="12">
        <v>119.5</v>
      </c>
      <c r="H254" s="12">
        <v>48.04</v>
      </c>
      <c r="J254" s="12">
        <v>119.5</v>
      </c>
      <c r="L254" s="12">
        <v>13.26</v>
      </c>
      <c r="N254" s="12">
        <v>13.26</v>
      </c>
      <c r="O254" s="13">
        <v>43262</v>
      </c>
      <c r="P254" s="91" t="s">
        <v>24</v>
      </c>
      <c r="Q254" s="92" t="s">
        <v>648</v>
      </c>
      <c r="R254" s="90" t="s">
        <v>14</v>
      </c>
    </row>
    <row r="255" spans="1:20" ht="52.8" x14ac:dyDescent="0.25">
      <c r="A255" s="9" t="s">
        <v>457</v>
      </c>
      <c r="B255" s="10" t="s">
        <v>35</v>
      </c>
      <c r="C255" s="13">
        <v>43201</v>
      </c>
      <c r="D255" s="9" t="s">
        <v>649</v>
      </c>
      <c r="E255" s="16">
        <v>43327</v>
      </c>
      <c r="F255" s="11">
        <v>5827036874</v>
      </c>
      <c r="G255" s="12">
        <v>369.79</v>
      </c>
      <c r="H255" s="12">
        <v>328.41</v>
      </c>
      <c r="J255" s="12">
        <v>0</v>
      </c>
      <c r="L255" s="12">
        <v>41.38</v>
      </c>
      <c r="N255" s="12">
        <v>41.38</v>
      </c>
      <c r="O255" s="13">
        <v>43338</v>
      </c>
      <c r="P255" s="13" t="s">
        <v>16</v>
      </c>
      <c r="Q255" s="63" t="s">
        <v>285</v>
      </c>
      <c r="R255" s="10" t="s">
        <v>14</v>
      </c>
      <c r="T255" s="9" t="s">
        <v>651</v>
      </c>
    </row>
    <row r="256" spans="1:20" ht="26.4" x14ac:dyDescent="0.25">
      <c r="A256" s="9" t="s">
        <v>457</v>
      </c>
      <c r="B256" s="10" t="s">
        <v>35</v>
      </c>
      <c r="C256" s="13">
        <v>43209</v>
      </c>
      <c r="D256" s="9" t="s">
        <v>650</v>
      </c>
      <c r="E256" s="16">
        <v>43298</v>
      </c>
      <c r="F256" s="11">
        <v>5849332863</v>
      </c>
      <c r="G256" s="12">
        <v>172.4</v>
      </c>
      <c r="H256" s="12">
        <v>143.84</v>
      </c>
      <c r="J256" s="12">
        <v>0</v>
      </c>
      <c r="L256" s="12">
        <v>28.56</v>
      </c>
      <c r="N256" s="12">
        <v>28.56</v>
      </c>
      <c r="O256" s="13">
        <v>43338</v>
      </c>
      <c r="P256" s="13" t="s">
        <v>16</v>
      </c>
      <c r="Q256" s="63" t="s">
        <v>285</v>
      </c>
      <c r="R256" s="10" t="s">
        <v>14</v>
      </c>
    </row>
    <row r="257" spans="1:20" ht="26.4" x14ac:dyDescent="0.25">
      <c r="A257" s="9" t="s">
        <v>652</v>
      </c>
      <c r="B257" s="10" t="s">
        <v>35</v>
      </c>
      <c r="C257" s="13">
        <v>43072</v>
      </c>
      <c r="D257" s="9" t="s">
        <v>653</v>
      </c>
      <c r="E257" s="16">
        <v>43323</v>
      </c>
      <c r="F257" s="11">
        <v>3769097</v>
      </c>
      <c r="G257" s="12">
        <v>139</v>
      </c>
      <c r="H257" s="12">
        <v>125.1</v>
      </c>
      <c r="L257" s="12">
        <v>13.9</v>
      </c>
      <c r="N257" s="12">
        <v>13.9</v>
      </c>
      <c r="O257" s="13">
        <v>43338</v>
      </c>
      <c r="P257" s="13" t="s">
        <v>16</v>
      </c>
      <c r="Q257" s="63" t="s">
        <v>285</v>
      </c>
      <c r="R257" s="10" t="s">
        <v>14</v>
      </c>
    </row>
    <row r="258" spans="1:20" x14ac:dyDescent="0.25">
      <c r="A258" s="9" t="s">
        <v>287</v>
      </c>
      <c r="B258" s="10" t="s">
        <v>35</v>
      </c>
      <c r="C258" s="13">
        <v>43258</v>
      </c>
      <c r="D258" s="9" t="s">
        <v>654</v>
      </c>
      <c r="E258" s="16">
        <v>43279</v>
      </c>
      <c r="F258" s="11">
        <v>5080</v>
      </c>
      <c r="G258" s="12">
        <f>159+159+205+159+205</f>
        <v>887</v>
      </c>
      <c r="J258" s="12">
        <v>753.3</v>
      </c>
      <c r="L258" s="12">
        <v>133.69999999999999</v>
      </c>
      <c r="N258" s="12">
        <v>133.69999999999999</v>
      </c>
      <c r="O258" s="13">
        <v>43338</v>
      </c>
      <c r="P258" s="13" t="s">
        <v>24</v>
      </c>
      <c r="Q258" s="63" t="s">
        <v>655</v>
      </c>
      <c r="R258" s="10" t="s">
        <v>14</v>
      </c>
      <c r="T258" s="9" t="s">
        <v>660</v>
      </c>
    </row>
    <row r="259" spans="1:20" x14ac:dyDescent="0.25">
      <c r="A259" s="9" t="s">
        <v>287</v>
      </c>
      <c r="B259" s="10" t="s">
        <v>656</v>
      </c>
      <c r="C259" s="10" t="s">
        <v>657</v>
      </c>
      <c r="D259" s="9" t="s">
        <v>658</v>
      </c>
      <c r="E259" s="16">
        <v>43339</v>
      </c>
      <c r="F259" s="11">
        <v>5080</v>
      </c>
      <c r="G259" s="12">
        <f>66+99+48+160+1060+66+76+45</f>
        <v>1620</v>
      </c>
      <c r="H259" s="12">
        <v>530</v>
      </c>
      <c r="I259" s="12">
        <f>360</f>
        <v>360</v>
      </c>
      <c r="J259" s="12">
        <f>144</f>
        <v>144</v>
      </c>
      <c r="L259" s="12">
        <f>G259-H259-J259-I259</f>
        <v>586</v>
      </c>
      <c r="N259" s="12">
        <v>586</v>
      </c>
      <c r="O259" s="13">
        <v>43365</v>
      </c>
      <c r="P259" s="13" t="s">
        <v>24</v>
      </c>
      <c r="Q259" s="63" t="s">
        <v>659</v>
      </c>
      <c r="R259" s="10" t="s">
        <v>14</v>
      </c>
    </row>
    <row r="260" spans="1:20" x14ac:dyDescent="0.25">
      <c r="A260" s="9" t="s">
        <v>163</v>
      </c>
      <c r="B260" s="10" t="s">
        <v>35</v>
      </c>
      <c r="C260" s="106" t="s">
        <v>661</v>
      </c>
      <c r="D260" s="9" t="s">
        <v>617</v>
      </c>
      <c r="E260" s="16">
        <v>43283</v>
      </c>
      <c r="F260" s="11">
        <v>27965</v>
      </c>
      <c r="G260" s="12">
        <f>(62+12)*3</f>
        <v>222</v>
      </c>
      <c r="J260" s="12">
        <f>(18.9+9.1)+(17.68+9.1)*2</f>
        <v>81.56</v>
      </c>
      <c r="L260" s="12">
        <f>G260-J260</f>
        <v>140.44</v>
      </c>
      <c r="N260" s="12">
        <v>140.44</v>
      </c>
      <c r="O260" s="13">
        <v>43365</v>
      </c>
      <c r="P260" s="13" t="s">
        <v>24</v>
      </c>
      <c r="Q260" s="63" t="s">
        <v>285</v>
      </c>
      <c r="R260" s="10" t="s">
        <v>14</v>
      </c>
      <c r="T260" s="63" t="s">
        <v>662</v>
      </c>
    </row>
    <row r="261" spans="1:20" x14ac:dyDescent="0.25">
      <c r="A261" s="9" t="s">
        <v>163</v>
      </c>
      <c r="B261" s="10" t="s">
        <v>35</v>
      </c>
      <c r="C261" s="133" t="s">
        <v>664</v>
      </c>
      <c r="D261" s="9" t="s">
        <v>663</v>
      </c>
      <c r="E261" s="16">
        <v>43347</v>
      </c>
      <c r="F261" s="11">
        <v>27965</v>
      </c>
      <c r="G261" s="12">
        <f>62+12</f>
        <v>74</v>
      </c>
      <c r="J261" s="12">
        <f>17.68+9.5</f>
        <v>27.18</v>
      </c>
      <c r="L261" s="12">
        <f>G261-J261</f>
        <v>46.82</v>
      </c>
      <c r="N261" s="12">
        <v>46.82</v>
      </c>
      <c r="O261" s="13">
        <v>43365</v>
      </c>
      <c r="P261" s="91" t="s">
        <v>24</v>
      </c>
      <c r="Q261" s="92" t="s">
        <v>285</v>
      </c>
      <c r="R261" s="90" t="s">
        <v>14</v>
      </c>
    </row>
    <row r="262" spans="1:20" ht="26.4" x14ac:dyDescent="0.25">
      <c r="A262" s="89" t="s">
        <v>665</v>
      </c>
      <c r="B262" s="90" t="s">
        <v>33</v>
      </c>
      <c r="C262" s="13">
        <v>43360</v>
      </c>
      <c r="D262" s="89" t="s">
        <v>667</v>
      </c>
      <c r="E262" s="16">
        <v>43376</v>
      </c>
      <c r="F262" s="95" t="s">
        <v>666</v>
      </c>
      <c r="G262" s="12">
        <v>362.5</v>
      </c>
      <c r="H262" s="12">
        <v>168.82</v>
      </c>
      <c r="L262" s="12">
        <v>193.68</v>
      </c>
      <c r="N262" s="12">
        <v>193.68</v>
      </c>
      <c r="O262" s="13">
        <v>43406</v>
      </c>
      <c r="P262" s="13" t="s">
        <v>16</v>
      </c>
      <c r="Q262" s="63" t="s">
        <v>285</v>
      </c>
      <c r="R262" s="10" t="s">
        <v>14</v>
      </c>
    </row>
    <row r="263" spans="1:20" ht="26.4" x14ac:dyDescent="0.25">
      <c r="A263" s="9" t="s">
        <v>287</v>
      </c>
      <c r="B263" s="10" t="s">
        <v>668</v>
      </c>
      <c r="C263" s="10" t="s">
        <v>669</v>
      </c>
      <c r="E263" s="9" t="s">
        <v>670</v>
      </c>
      <c r="F263" s="11">
        <v>5080</v>
      </c>
      <c r="G263" s="12">
        <f>45+66+99+99+8+66+99</f>
        <v>482</v>
      </c>
      <c r="I263" s="12">
        <v>148.5</v>
      </c>
      <c r="J263" s="12">
        <f>171+23+129.6+168.3+586+133.7+89.1</f>
        <v>1300.7</v>
      </c>
      <c r="L263" s="12">
        <f>G263-J263-I263</f>
        <v>-967.2</v>
      </c>
      <c r="M263" s="38">
        <v>1079.7</v>
      </c>
      <c r="N263" s="12">
        <f>M263+L263</f>
        <v>112.5</v>
      </c>
      <c r="O263" s="13">
        <v>43406</v>
      </c>
      <c r="P263" s="13" t="s">
        <v>24</v>
      </c>
      <c r="Q263" s="63" t="s">
        <v>285</v>
      </c>
      <c r="R263" s="10" t="s">
        <v>14</v>
      </c>
    </row>
    <row r="264" spans="1:20" x14ac:dyDescent="0.25">
      <c r="A264" s="9" t="s">
        <v>457</v>
      </c>
      <c r="B264" s="10" t="s">
        <v>35</v>
      </c>
      <c r="C264" s="13">
        <v>43333</v>
      </c>
      <c r="D264" s="9" t="s">
        <v>671</v>
      </c>
      <c r="E264" s="16">
        <v>43407</v>
      </c>
      <c r="F264" s="11">
        <v>6284595785</v>
      </c>
      <c r="G264" s="12">
        <v>911.51</v>
      </c>
      <c r="H264" s="12">
        <v>781.53</v>
      </c>
      <c r="J264" s="12">
        <v>63.84</v>
      </c>
      <c r="L264" s="12">
        <v>66.14</v>
      </c>
      <c r="N264" s="12">
        <v>66.14</v>
      </c>
      <c r="O264" s="13">
        <v>43459</v>
      </c>
      <c r="P264" s="13" t="s">
        <v>16</v>
      </c>
      <c r="Q264" s="63" t="s">
        <v>672</v>
      </c>
      <c r="R264" s="10" t="s">
        <v>14</v>
      </c>
      <c r="S264" s="13">
        <v>43462</v>
      </c>
    </row>
    <row r="265" spans="1:20" x14ac:dyDescent="0.25">
      <c r="A265" s="9" t="s">
        <v>163</v>
      </c>
      <c r="B265" s="10" t="s">
        <v>35</v>
      </c>
      <c r="C265" s="13" t="s">
        <v>674</v>
      </c>
      <c r="D265" s="9" t="s">
        <v>673</v>
      </c>
      <c r="E265" s="16">
        <v>43448</v>
      </c>
      <c r="F265" s="11">
        <v>27965</v>
      </c>
      <c r="G265" s="12">
        <f>62+12+215+130+62+43+0.02</f>
        <v>524.02</v>
      </c>
      <c r="H265" s="12">
        <f>17.68+9.5+84.19+51.89+17.68+24.97+0.02</f>
        <v>205.93</v>
      </c>
      <c r="J265" s="12">
        <f>44.32+18.03</f>
        <v>62.35</v>
      </c>
      <c r="L265" s="12">
        <f>46.82+130.81+78.11</f>
        <v>255.74</v>
      </c>
      <c r="N265" s="12">
        <v>255.74</v>
      </c>
      <c r="O265" s="13">
        <v>43460</v>
      </c>
      <c r="P265" s="13" t="s">
        <v>24</v>
      </c>
      <c r="Q265" s="63" t="s">
        <v>285</v>
      </c>
      <c r="R265" s="10" t="s">
        <v>14</v>
      </c>
      <c r="S265" s="13">
        <v>43468</v>
      </c>
    </row>
    <row r="266" spans="1:20" ht="26.4" x14ac:dyDescent="0.25">
      <c r="A266" s="89" t="s">
        <v>287</v>
      </c>
      <c r="B266" s="90" t="s">
        <v>35</v>
      </c>
      <c r="C266" s="91">
        <v>43399</v>
      </c>
      <c r="D266" s="89" t="s">
        <v>677</v>
      </c>
      <c r="E266" s="16">
        <v>43454</v>
      </c>
      <c r="F266" s="11">
        <v>5080</v>
      </c>
      <c r="G266" s="96">
        <f>180+180+160+159</f>
        <v>679</v>
      </c>
      <c r="J266" s="12">
        <f>272.4+148.5</f>
        <v>420.9</v>
      </c>
      <c r="L266" s="12">
        <f>G266-J266</f>
        <v>258.10000000000002</v>
      </c>
      <c r="M266" s="38">
        <f>261-112.5</f>
        <v>148.5</v>
      </c>
      <c r="N266" s="12">
        <v>406.6</v>
      </c>
      <c r="O266" s="13">
        <v>43477</v>
      </c>
      <c r="P266" s="13" t="s">
        <v>24</v>
      </c>
      <c r="Q266" s="63" t="s">
        <v>285</v>
      </c>
      <c r="R266" s="90" t="s">
        <v>14</v>
      </c>
      <c r="S266" s="13">
        <v>43487</v>
      </c>
      <c r="T266" s="89" t="s">
        <v>686</v>
      </c>
    </row>
    <row r="267" spans="1:20" x14ac:dyDescent="0.25">
      <c r="A267" s="9" t="s">
        <v>610</v>
      </c>
      <c r="B267" s="10" t="s">
        <v>63</v>
      </c>
      <c r="C267" s="13">
        <v>43423</v>
      </c>
      <c r="D267" s="9" t="s">
        <v>675</v>
      </c>
      <c r="E267" s="16">
        <v>43467</v>
      </c>
      <c r="F267" s="37" t="s">
        <v>676</v>
      </c>
      <c r="G267" s="12">
        <v>49</v>
      </c>
      <c r="L267" s="12">
        <v>49</v>
      </c>
      <c r="N267" s="12">
        <v>49</v>
      </c>
      <c r="O267" s="13">
        <v>43477</v>
      </c>
      <c r="P267" s="13" t="s">
        <v>24</v>
      </c>
      <c r="Q267" s="63" t="s">
        <v>285</v>
      </c>
      <c r="R267" s="10" t="s">
        <v>14</v>
      </c>
      <c r="S267" s="13">
        <v>43483</v>
      </c>
      <c r="T267" s="9" t="s">
        <v>690</v>
      </c>
    </row>
    <row r="268" spans="1:20" ht="26.4" x14ac:dyDescent="0.25">
      <c r="A268" s="9" t="s">
        <v>678</v>
      </c>
      <c r="B268" s="10" t="s">
        <v>35</v>
      </c>
      <c r="C268" s="13">
        <v>43424</v>
      </c>
      <c r="D268" s="10" t="s">
        <v>679</v>
      </c>
      <c r="E268" s="16">
        <v>43455</v>
      </c>
      <c r="F268" s="11" t="s">
        <v>680</v>
      </c>
      <c r="G268" s="12">
        <v>1269.4000000000001</v>
      </c>
      <c r="H268" s="12">
        <v>836.42</v>
      </c>
      <c r="L268" s="12">
        <v>432.98</v>
      </c>
      <c r="N268" s="12">
        <v>432.98</v>
      </c>
      <c r="O268" s="13">
        <v>43477</v>
      </c>
      <c r="P268" s="13" t="s">
        <v>24</v>
      </c>
      <c r="Q268" s="63" t="s">
        <v>683</v>
      </c>
      <c r="R268" s="10" t="s">
        <v>14</v>
      </c>
      <c r="S268" s="13">
        <v>43489</v>
      </c>
      <c r="T268" s="89" t="s">
        <v>685</v>
      </c>
    </row>
    <row r="269" spans="1:20" ht="26.4" x14ac:dyDescent="0.25">
      <c r="A269" s="9" t="s">
        <v>681</v>
      </c>
      <c r="B269" s="90" t="s">
        <v>35</v>
      </c>
      <c r="C269" s="91" t="s">
        <v>10</v>
      </c>
      <c r="D269" s="9" t="s">
        <v>682</v>
      </c>
      <c r="E269" s="107" t="s">
        <v>688</v>
      </c>
      <c r="G269" s="96" t="s">
        <v>10</v>
      </c>
      <c r="H269" s="96" t="s">
        <v>10</v>
      </c>
      <c r="N269" s="12">
        <v>294.01</v>
      </c>
      <c r="O269" s="13">
        <v>43468</v>
      </c>
      <c r="P269" s="91" t="s">
        <v>209</v>
      </c>
      <c r="Q269" s="92" t="s">
        <v>672</v>
      </c>
      <c r="R269" s="90" t="s">
        <v>14</v>
      </c>
      <c r="S269" s="13">
        <v>43468</v>
      </c>
      <c r="T269" s="89" t="s">
        <v>689</v>
      </c>
    </row>
    <row r="270" spans="1:20" ht="26.4" x14ac:dyDescent="0.25">
      <c r="A270" s="9" t="s">
        <v>681</v>
      </c>
      <c r="B270" s="10" t="s">
        <v>35</v>
      </c>
      <c r="C270" s="13">
        <v>43424</v>
      </c>
      <c r="D270" s="9" t="s">
        <v>682</v>
      </c>
      <c r="E270" s="16">
        <v>43465</v>
      </c>
      <c r="F270" s="11">
        <v>20017375</v>
      </c>
      <c r="G270" s="12">
        <v>1002</v>
      </c>
      <c r="H270" s="12">
        <v>868.89</v>
      </c>
      <c r="L270" s="12">
        <v>133.11000000000001</v>
      </c>
      <c r="N270" s="12">
        <v>133.11000000000001</v>
      </c>
      <c r="O270" s="13">
        <v>43477</v>
      </c>
      <c r="P270" s="13" t="s">
        <v>24</v>
      </c>
      <c r="Q270" s="63" t="s">
        <v>285</v>
      </c>
      <c r="R270" s="10" t="s">
        <v>14</v>
      </c>
      <c r="S270" s="134">
        <v>43487</v>
      </c>
      <c r="T270" s="89" t="s">
        <v>687</v>
      </c>
    </row>
    <row r="271" spans="1:20" ht="26.4" x14ac:dyDescent="0.25">
      <c r="A271" s="9" t="s">
        <v>691</v>
      </c>
      <c r="B271" s="10" t="s">
        <v>35</v>
      </c>
      <c r="C271" s="13">
        <v>43516</v>
      </c>
      <c r="D271" s="9" t="s">
        <v>692</v>
      </c>
      <c r="E271" s="13">
        <v>43538</v>
      </c>
      <c r="F271" s="11" t="s">
        <v>693</v>
      </c>
      <c r="G271" s="12">
        <v>103</v>
      </c>
      <c r="H271" s="12">
        <v>50.8</v>
      </c>
      <c r="L271" s="12">
        <v>52.2</v>
      </c>
      <c r="N271" s="12">
        <v>52.2</v>
      </c>
      <c r="O271" s="13">
        <v>43554</v>
      </c>
      <c r="P271" s="13" t="s">
        <v>24</v>
      </c>
      <c r="Q271" s="63" t="s">
        <v>285</v>
      </c>
      <c r="R271" s="10" t="s">
        <v>14</v>
      </c>
    </row>
    <row r="272" spans="1:20" x14ac:dyDescent="0.25">
      <c r="A272" s="9" t="s">
        <v>457</v>
      </c>
      <c r="B272" s="10" t="s">
        <v>35</v>
      </c>
      <c r="C272" s="13">
        <v>43516</v>
      </c>
      <c r="D272" s="9" t="s">
        <v>694</v>
      </c>
      <c r="E272" s="16">
        <v>43539</v>
      </c>
      <c r="F272" s="11">
        <v>6634806006</v>
      </c>
      <c r="G272" s="12">
        <v>192.35</v>
      </c>
      <c r="H272" s="12">
        <v>162.51</v>
      </c>
      <c r="L272" s="12">
        <v>29.84</v>
      </c>
      <c r="N272" s="12">
        <v>29.84</v>
      </c>
      <c r="O272" s="13">
        <v>43554</v>
      </c>
      <c r="P272" s="13" t="s">
        <v>16</v>
      </c>
      <c r="Q272" s="63" t="s">
        <v>672</v>
      </c>
      <c r="R272" s="10" t="s">
        <v>14</v>
      </c>
    </row>
    <row r="273" spans="1:20" x14ac:dyDescent="0.25">
      <c r="A273" s="9" t="s">
        <v>457</v>
      </c>
      <c r="B273" s="10" t="s">
        <v>35</v>
      </c>
      <c r="C273" s="13">
        <v>43516</v>
      </c>
      <c r="D273" s="9" t="s">
        <v>705</v>
      </c>
      <c r="E273" s="16">
        <v>43545</v>
      </c>
      <c r="F273" s="11">
        <v>6645176740</v>
      </c>
      <c r="G273" s="12">
        <v>133.57</v>
      </c>
      <c r="H273" s="12">
        <v>118.09</v>
      </c>
      <c r="L273" s="12">
        <v>15.48</v>
      </c>
      <c r="N273" s="12">
        <v>15.48</v>
      </c>
      <c r="O273" s="13">
        <v>43554</v>
      </c>
      <c r="P273" s="13" t="s">
        <v>16</v>
      </c>
      <c r="Q273" s="63" t="s">
        <v>672</v>
      </c>
      <c r="R273" s="10" t="s">
        <v>14</v>
      </c>
    </row>
    <row r="274" spans="1:20" ht="39.6" x14ac:dyDescent="0.25">
      <c r="A274" s="9" t="s">
        <v>389</v>
      </c>
      <c r="B274" s="10" t="s">
        <v>35</v>
      </c>
      <c r="C274" s="13">
        <v>43424</v>
      </c>
      <c r="D274" s="9" t="s">
        <v>695</v>
      </c>
      <c r="E274" s="16">
        <v>43541</v>
      </c>
      <c r="F274" s="11">
        <v>411033417</v>
      </c>
      <c r="G274" s="12">
        <v>7900.55</v>
      </c>
      <c r="H274" s="12">
        <v>3363.48</v>
      </c>
      <c r="J274" s="12">
        <v>4432.8</v>
      </c>
      <c r="L274" s="12">
        <v>104.27</v>
      </c>
      <c r="N274" s="12">
        <v>104.27</v>
      </c>
      <c r="O274" s="13">
        <v>43554</v>
      </c>
      <c r="P274" s="13" t="s">
        <v>24</v>
      </c>
      <c r="Q274" s="63" t="s">
        <v>285</v>
      </c>
      <c r="R274" s="10" t="s">
        <v>14</v>
      </c>
    </row>
    <row r="275" spans="1:20" ht="26.4" x14ac:dyDescent="0.25">
      <c r="A275" s="9" t="s">
        <v>681</v>
      </c>
      <c r="B275" s="10" t="s">
        <v>35</v>
      </c>
      <c r="C275" s="13">
        <v>43496</v>
      </c>
      <c r="D275" s="9" t="s">
        <v>696</v>
      </c>
      <c r="E275" s="16">
        <v>43546</v>
      </c>
      <c r="F275" s="11">
        <v>20017375</v>
      </c>
      <c r="G275" s="12">
        <v>253</v>
      </c>
      <c r="H275" s="12">
        <v>60.59</v>
      </c>
      <c r="L275" s="12">
        <v>192.41</v>
      </c>
      <c r="N275" s="12">
        <v>192.41</v>
      </c>
      <c r="O275" s="13">
        <v>43554</v>
      </c>
      <c r="P275" s="13" t="s">
        <v>24</v>
      </c>
      <c r="Q275" s="63" t="s">
        <v>285</v>
      </c>
      <c r="R275" s="10" t="s">
        <v>14</v>
      </c>
    </row>
    <row r="276" spans="1:20" ht="26.4" x14ac:dyDescent="0.25">
      <c r="A276" s="9" t="s">
        <v>697</v>
      </c>
      <c r="B276" s="10" t="s">
        <v>52</v>
      </c>
      <c r="C276" s="13">
        <v>43531</v>
      </c>
      <c r="D276" s="9" t="s">
        <v>699</v>
      </c>
      <c r="E276" s="16" t="s">
        <v>698</v>
      </c>
      <c r="F276" s="11">
        <v>486620</v>
      </c>
      <c r="G276" s="12">
        <f>122</f>
        <v>122</v>
      </c>
      <c r="H276" s="135">
        <v>0</v>
      </c>
      <c r="L276" s="135">
        <v>122</v>
      </c>
      <c r="N276" s="12">
        <v>122</v>
      </c>
      <c r="O276" s="13">
        <v>43558</v>
      </c>
      <c r="P276" s="13" t="s">
        <v>16</v>
      </c>
      <c r="Q276" s="63" t="s">
        <v>285</v>
      </c>
      <c r="R276" s="10" t="s">
        <v>14</v>
      </c>
    </row>
    <row r="277" spans="1:20" ht="26.4" x14ac:dyDescent="0.25">
      <c r="A277" s="9" t="s">
        <v>697</v>
      </c>
      <c r="B277" s="10" t="s">
        <v>52</v>
      </c>
      <c r="C277" s="13">
        <v>43553</v>
      </c>
      <c r="D277" s="9" t="s">
        <v>700</v>
      </c>
      <c r="E277" s="16" t="s">
        <v>698</v>
      </c>
      <c r="F277" s="11">
        <v>486620</v>
      </c>
      <c r="G277" s="12">
        <f>51+222+84+42+208</f>
        <v>607</v>
      </c>
      <c r="H277" s="135" t="s">
        <v>701</v>
      </c>
      <c r="J277" s="12" t="s">
        <v>701</v>
      </c>
      <c r="L277" s="15" t="s">
        <v>703</v>
      </c>
    </row>
    <row r="278" spans="1:20" ht="26.4" x14ac:dyDescent="0.25">
      <c r="A278" s="9" t="s">
        <v>697</v>
      </c>
      <c r="B278" s="10" t="s">
        <v>63</v>
      </c>
      <c r="C278" s="13">
        <v>43553</v>
      </c>
      <c r="D278" s="9" t="s">
        <v>702</v>
      </c>
      <c r="E278" s="9" t="s">
        <v>698</v>
      </c>
      <c r="F278" s="11">
        <v>486633</v>
      </c>
      <c r="G278" s="12">
        <f>42+262</f>
        <v>304</v>
      </c>
      <c r="H278" s="12" t="s">
        <v>701</v>
      </c>
      <c r="J278" s="12" t="s">
        <v>701</v>
      </c>
      <c r="L278" s="15" t="s">
        <v>703</v>
      </c>
      <c r="N278" s="12">
        <v>0</v>
      </c>
      <c r="O278" s="13" t="s">
        <v>553</v>
      </c>
      <c r="P278" s="13" t="s">
        <v>729</v>
      </c>
    </row>
    <row r="279" spans="1:20" ht="26.4" x14ac:dyDescent="0.25">
      <c r="A279" s="9" t="s">
        <v>697</v>
      </c>
      <c r="B279" s="10" t="s">
        <v>634</v>
      </c>
      <c r="C279" s="13">
        <v>43553</v>
      </c>
      <c r="D279" s="9" t="s">
        <v>704</v>
      </c>
      <c r="E279" s="9" t="s">
        <v>698</v>
      </c>
      <c r="F279" s="11">
        <v>486635</v>
      </c>
      <c r="G279" s="12">
        <f>5+262</f>
        <v>267</v>
      </c>
      <c r="H279" s="12" t="s">
        <v>701</v>
      </c>
      <c r="J279" s="12" t="s">
        <v>701</v>
      </c>
      <c r="L279" s="15" t="s">
        <v>703</v>
      </c>
    </row>
    <row r="280" spans="1:20" ht="26.4" x14ac:dyDescent="0.25">
      <c r="A280" s="9" t="s">
        <v>706</v>
      </c>
      <c r="B280" s="10" t="s">
        <v>35</v>
      </c>
      <c r="C280" s="13">
        <v>43567</v>
      </c>
      <c r="D280" s="9" t="s">
        <v>707</v>
      </c>
      <c r="E280" s="16">
        <v>43564</v>
      </c>
      <c r="F280" s="11">
        <v>1068379274</v>
      </c>
      <c r="G280" s="12">
        <f>3404.72+4889.08</f>
        <v>8293.7999999999993</v>
      </c>
      <c r="H280" s="12">
        <f>3404.72-2837.65+4889.08-1917.17</f>
        <v>3538.9799999999996</v>
      </c>
      <c r="J280" s="12">
        <f>2837.65-853.76</f>
        <v>1983.89</v>
      </c>
      <c r="L280" s="12">
        <f>1917.17+853.76</f>
        <v>2770.9300000000003</v>
      </c>
      <c r="N280" s="12">
        <v>2770.93</v>
      </c>
      <c r="O280" s="13">
        <v>43565</v>
      </c>
      <c r="P280" s="13" t="s">
        <v>510</v>
      </c>
      <c r="Q280" s="63" t="s">
        <v>285</v>
      </c>
      <c r="R280" s="10" t="s">
        <v>14</v>
      </c>
    </row>
    <row r="281" spans="1:20" s="137" customFormat="1" ht="39.6" x14ac:dyDescent="0.25">
      <c r="A281" s="136" t="s">
        <v>711</v>
      </c>
      <c r="B281" s="137" t="s">
        <v>35</v>
      </c>
      <c r="C281" s="138">
        <v>43567</v>
      </c>
      <c r="D281" s="136" t="s">
        <v>712</v>
      </c>
      <c r="E281" s="139" t="s">
        <v>713</v>
      </c>
      <c r="F281" s="140">
        <v>2746995</v>
      </c>
      <c r="G281" s="141">
        <v>8473.7999999999993</v>
      </c>
      <c r="H281" s="141">
        <f>3009.79+396.35</f>
        <v>3406.14</v>
      </c>
      <c r="I281" s="141"/>
      <c r="J281" s="141">
        <v>3395.71</v>
      </c>
      <c r="K281" s="141"/>
      <c r="L281" s="141">
        <f>G281-H281-J281+M281</f>
        <v>818.18999999999983</v>
      </c>
      <c r="M281" s="142">
        <v>-853.76</v>
      </c>
      <c r="N281" s="141"/>
      <c r="O281" s="138"/>
      <c r="P281" s="138"/>
      <c r="Q281" s="143"/>
      <c r="T281" s="136" t="s">
        <v>717</v>
      </c>
    </row>
    <row r="282" spans="1:20" s="137" customFormat="1" ht="52.8" x14ac:dyDescent="0.25">
      <c r="A282" s="136" t="s">
        <v>714</v>
      </c>
      <c r="B282" s="137" t="s">
        <v>35</v>
      </c>
      <c r="C282" s="138">
        <v>43567</v>
      </c>
      <c r="D282" s="136" t="s">
        <v>715</v>
      </c>
      <c r="E282" s="139" t="s">
        <v>713</v>
      </c>
      <c r="F282" s="140">
        <v>2746995</v>
      </c>
      <c r="G282" s="141">
        <v>2134</v>
      </c>
      <c r="H282" s="141">
        <f>238.3+1075.19</f>
        <v>1313.49</v>
      </c>
      <c r="I282" s="141"/>
      <c r="J282" s="141">
        <v>549.74</v>
      </c>
      <c r="K282" s="141"/>
      <c r="L282" s="141">
        <v>209.7</v>
      </c>
      <c r="M282" s="142">
        <v>-61.07</v>
      </c>
      <c r="N282" s="141"/>
      <c r="O282" s="138"/>
      <c r="P282" s="138"/>
      <c r="Q282" s="143"/>
      <c r="T282" s="136" t="s">
        <v>716</v>
      </c>
    </row>
    <row r="283" spans="1:20" ht="39.6" x14ac:dyDescent="0.25">
      <c r="A283" s="9" t="s">
        <v>708</v>
      </c>
      <c r="B283" s="10" t="s">
        <v>35</v>
      </c>
      <c r="C283" s="10" t="s">
        <v>709</v>
      </c>
      <c r="D283" s="9" t="s">
        <v>710</v>
      </c>
      <c r="E283" s="16">
        <v>43667</v>
      </c>
      <c r="F283" s="11">
        <v>411033417</v>
      </c>
      <c r="G283" s="12">
        <f>556+337</f>
        <v>893</v>
      </c>
      <c r="H283" s="12">
        <f>155.25+128.72</f>
        <v>283.97000000000003</v>
      </c>
      <c r="J283" s="12">
        <v>187.46</v>
      </c>
      <c r="L283" s="12">
        <f>G283-H283-J283</f>
        <v>421.56999999999994</v>
      </c>
      <c r="N283" s="12">
        <v>421.57</v>
      </c>
      <c r="O283" s="13">
        <v>43683</v>
      </c>
      <c r="P283" s="13" t="s">
        <v>24</v>
      </c>
      <c r="Q283" s="63" t="s">
        <v>285</v>
      </c>
      <c r="R283" s="10" t="s">
        <v>14</v>
      </c>
    </row>
    <row r="284" spans="1:20" ht="26.4" x14ac:dyDescent="0.25">
      <c r="A284" s="9" t="s">
        <v>718</v>
      </c>
      <c r="B284" s="9" t="s">
        <v>721</v>
      </c>
      <c r="C284" s="10" t="s">
        <v>720</v>
      </c>
      <c r="D284" s="9" t="s">
        <v>722</v>
      </c>
      <c r="E284" s="16">
        <v>43643</v>
      </c>
      <c r="F284" s="11">
        <v>5080</v>
      </c>
      <c r="G284" s="12">
        <v>309.5</v>
      </c>
      <c r="J284" s="12">
        <v>263.7</v>
      </c>
      <c r="L284" s="12">
        <f>G284-J284</f>
        <v>45.800000000000011</v>
      </c>
      <c r="N284" s="12">
        <v>45.8</v>
      </c>
      <c r="O284" s="13">
        <v>43683</v>
      </c>
      <c r="P284" s="13" t="s">
        <v>24</v>
      </c>
      <c r="Q284" s="63" t="s">
        <v>285</v>
      </c>
      <c r="R284" s="10" t="s">
        <v>14</v>
      </c>
    </row>
    <row r="285" spans="1:20" x14ac:dyDescent="0.25">
      <c r="A285" s="9" t="s">
        <v>697</v>
      </c>
      <c r="B285" s="10" t="s">
        <v>634</v>
      </c>
      <c r="C285" s="13">
        <v>43630</v>
      </c>
      <c r="D285" s="9" t="s">
        <v>696</v>
      </c>
      <c r="E285" s="16">
        <v>43667</v>
      </c>
      <c r="F285" s="11">
        <v>486635</v>
      </c>
      <c r="G285" s="12">
        <v>118</v>
      </c>
      <c r="I285" s="10"/>
      <c r="J285" s="12">
        <v>106.2</v>
      </c>
      <c r="L285" s="15">
        <v>11.8</v>
      </c>
    </row>
    <row r="286" spans="1:20" ht="26.4" x14ac:dyDescent="0.25">
      <c r="A286" s="9" t="s">
        <v>697</v>
      </c>
      <c r="B286" s="10" t="s">
        <v>33</v>
      </c>
      <c r="C286" s="10" t="s">
        <v>730</v>
      </c>
      <c r="D286" s="9" t="s">
        <v>731</v>
      </c>
      <c r="G286" s="12">
        <f>122+5+258</f>
        <v>385</v>
      </c>
      <c r="J286" s="12">
        <f>109.8+5+258</f>
        <v>372.8</v>
      </c>
      <c r="L286" s="12">
        <f>G286-J286</f>
        <v>12.199999999999989</v>
      </c>
    </row>
    <row r="287" spans="1:20" x14ac:dyDescent="0.25">
      <c r="A287" s="9" t="s">
        <v>481</v>
      </c>
      <c r="B287" s="10" t="s">
        <v>35</v>
      </c>
      <c r="C287" s="10" t="s">
        <v>732</v>
      </c>
      <c r="D287" s="9" t="s">
        <v>733</v>
      </c>
      <c r="E287" s="16">
        <v>43717</v>
      </c>
      <c r="L287" s="12">
        <v>30</v>
      </c>
      <c r="N287" s="12">
        <v>30</v>
      </c>
      <c r="O287" s="13">
        <v>43717</v>
      </c>
      <c r="P287" s="13" t="s">
        <v>47</v>
      </c>
      <c r="Q287" s="63" t="s">
        <v>734</v>
      </c>
    </row>
    <row r="288" spans="1:20" ht="26.4" x14ac:dyDescent="0.25">
      <c r="A288" s="9" t="s">
        <v>610</v>
      </c>
      <c r="B288" s="10" t="s">
        <v>35</v>
      </c>
      <c r="C288" s="10" t="s">
        <v>735</v>
      </c>
      <c r="D288" s="9" t="s">
        <v>736</v>
      </c>
      <c r="E288" s="16">
        <v>43711</v>
      </c>
      <c r="F288" s="11">
        <v>15421</v>
      </c>
      <c r="G288" s="12">
        <v>330</v>
      </c>
      <c r="H288" s="12">
        <v>79.760000000000005</v>
      </c>
      <c r="J288" s="12">
        <f>108+58.72</f>
        <v>166.72</v>
      </c>
      <c r="L288" s="12">
        <f>G288-H288-J288</f>
        <v>83.52000000000001</v>
      </c>
      <c r="N288" s="12">
        <v>83.52</v>
      </c>
      <c r="O288" s="13">
        <v>43750</v>
      </c>
      <c r="P288" s="13" t="s">
        <v>24</v>
      </c>
      <c r="Q288" s="63" t="s">
        <v>285</v>
      </c>
      <c r="R288" s="10" t="s">
        <v>14</v>
      </c>
    </row>
    <row r="289" spans="1:20" ht="26.4" x14ac:dyDescent="0.25">
      <c r="A289" s="9" t="s">
        <v>389</v>
      </c>
      <c r="B289" s="10" t="s">
        <v>35</v>
      </c>
      <c r="C289" s="13">
        <v>43613</v>
      </c>
      <c r="D289" s="9" t="s">
        <v>737</v>
      </c>
      <c r="E289" s="16">
        <v>43697</v>
      </c>
      <c r="F289" s="11">
        <v>411033417</v>
      </c>
      <c r="G289" s="12">
        <f>253.45+2084+105.75</f>
        <v>2443.1999999999998</v>
      </c>
      <c r="H289" s="12">
        <v>816.93</v>
      </c>
      <c r="J289" s="12">
        <v>1481.4</v>
      </c>
      <c r="L289" s="12">
        <f>G289-H289-J289</f>
        <v>144.86999999999989</v>
      </c>
      <c r="N289" s="12">
        <v>144.87</v>
      </c>
      <c r="O289" s="13">
        <v>43750</v>
      </c>
      <c r="P289" s="13" t="s">
        <v>24</v>
      </c>
      <c r="Q289" s="63" t="s">
        <v>285</v>
      </c>
      <c r="R289" s="10" t="s">
        <v>14</v>
      </c>
    </row>
    <row r="290" spans="1:20" ht="26.4" x14ac:dyDescent="0.25">
      <c r="A290" s="9" t="s">
        <v>610</v>
      </c>
      <c r="B290" s="10" t="s">
        <v>63</v>
      </c>
      <c r="C290" s="13">
        <v>43802</v>
      </c>
      <c r="D290" s="9" t="s">
        <v>611</v>
      </c>
      <c r="E290" s="16">
        <v>43833</v>
      </c>
      <c r="F290" s="11">
        <v>12349</v>
      </c>
      <c r="G290" s="12">
        <v>86</v>
      </c>
      <c r="L290" s="12">
        <v>86</v>
      </c>
      <c r="N290" s="12">
        <v>86</v>
      </c>
      <c r="O290" s="13">
        <v>43836</v>
      </c>
      <c r="P290" s="13" t="s">
        <v>510</v>
      </c>
      <c r="Q290" s="63" t="s">
        <v>285</v>
      </c>
      <c r="R290" s="10" t="s">
        <v>14</v>
      </c>
      <c r="S290" s="13">
        <v>43838</v>
      </c>
      <c r="T290" s="9" t="s">
        <v>738</v>
      </c>
    </row>
    <row r="291" spans="1:20" ht="26.4" x14ac:dyDescent="0.25">
      <c r="A291" s="9" t="s">
        <v>739</v>
      </c>
      <c r="B291" s="10" t="s">
        <v>35</v>
      </c>
      <c r="C291" s="10" t="s">
        <v>740</v>
      </c>
      <c r="D291" s="9" t="s">
        <v>741</v>
      </c>
      <c r="E291" s="16">
        <v>43844</v>
      </c>
      <c r="G291" s="12">
        <f>75+29+1090+250</f>
        <v>1444</v>
      </c>
      <c r="J291" s="12">
        <f>93.6+745</f>
        <v>838.6</v>
      </c>
      <c r="L291" s="12">
        <f>G291-J291</f>
        <v>605.4</v>
      </c>
      <c r="T291" s="9" t="s">
        <v>742</v>
      </c>
    </row>
    <row r="292" spans="1:20" x14ac:dyDescent="0.25">
      <c r="A292" s="147" t="s">
        <v>645</v>
      </c>
      <c r="B292" s="148" t="s">
        <v>33</v>
      </c>
      <c r="C292" s="146">
        <v>43409</v>
      </c>
      <c r="E292" s="146">
        <v>43409</v>
      </c>
      <c r="L292" s="109">
        <v>137.59</v>
      </c>
      <c r="N292" s="109">
        <v>137.59</v>
      </c>
      <c r="O292" s="1">
        <v>43409</v>
      </c>
      <c r="S292" s="1">
        <v>43409</v>
      </c>
    </row>
    <row r="293" spans="1:20" x14ac:dyDescent="0.25">
      <c r="A293" s="147" t="s">
        <v>645</v>
      </c>
      <c r="B293" s="148" t="s">
        <v>33</v>
      </c>
      <c r="C293" s="146">
        <v>43412</v>
      </c>
      <c r="E293" s="146">
        <v>43412</v>
      </c>
      <c r="L293" s="109">
        <v>66.38</v>
      </c>
      <c r="N293" s="109">
        <v>66.38</v>
      </c>
      <c r="O293" s="1">
        <v>43412</v>
      </c>
      <c r="S293" s="1">
        <v>43412</v>
      </c>
    </row>
    <row r="294" spans="1:20" x14ac:dyDescent="0.25">
      <c r="A294" s="147" t="s">
        <v>645</v>
      </c>
      <c r="B294" s="148" t="s">
        <v>33</v>
      </c>
      <c r="C294" s="146">
        <v>43417</v>
      </c>
      <c r="E294" s="146">
        <v>43417</v>
      </c>
      <c r="L294" s="109">
        <v>66.38</v>
      </c>
      <c r="N294" s="109">
        <v>66.38</v>
      </c>
      <c r="O294" s="1">
        <v>43417</v>
      </c>
      <c r="S294" s="1">
        <v>43417</v>
      </c>
    </row>
    <row r="295" spans="1:20" x14ac:dyDescent="0.25">
      <c r="A295" s="147" t="s">
        <v>645</v>
      </c>
      <c r="B295" s="148" t="s">
        <v>33</v>
      </c>
      <c r="C295" s="146">
        <v>43427</v>
      </c>
      <c r="E295" s="146">
        <v>43427</v>
      </c>
      <c r="L295" s="109">
        <v>66.38</v>
      </c>
      <c r="N295" s="109">
        <v>66.38</v>
      </c>
      <c r="O295" s="1">
        <v>43427</v>
      </c>
      <c r="S295" s="1">
        <v>43427</v>
      </c>
    </row>
    <row r="296" spans="1:20" x14ac:dyDescent="0.25">
      <c r="A296" s="147" t="s">
        <v>645</v>
      </c>
      <c r="B296" s="148" t="s">
        <v>33</v>
      </c>
      <c r="C296" s="146">
        <v>43440</v>
      </c>
      <c r="E296" s="146">
        <v>43440</v>
      </c>
      <c r="L296" s="109">
        <v>66.38</v>
      </c>
      <c r="N296" s="109">
        <v>66.38</v>
      </c>
      <c r="O296" s="1">
        <v>43440</v>
      </c>
      <c r="S296" s="1">
        <v>43440</v>
      </c>
    </row>
    <row r="297" spans="1:20" x14ac:dyDescent="0.25">
      <c r="A297" s="147" t="s">
        <v>645</v>
      </c>
      <c r="B297" s="148" t="s">
        <v>33</v>
      </c>
      <c r="C297" s="146">
        <v>43454</v>
      </c>
      <c r="E297" s="146">
        <v>43454</v>
      </c>
      <c r="L297" s="109">
        <v>66.38</v>
      </c>
      <c r="N297" s="109">
        <v>66.38</v>
      </c>
      <c r="O297" s="1">
        <v>43454</v>
      </c>
      <c r="S297" s="1">
        <v>43454</v>
      </c>
    </row>
    <row r="298" spans="1:20" x14ac:dyDescent="0.25">
      <c r="A298" s="147" t="s">
        <v>645</v>
      </c>
      <c r="B298" s="148" t="s">
        <v>33</v>
      </c>
      <c r="C298" s="146">
        <v>43493</v>
      </c>
      <c r="E298" s="146">
        <v>43493</v>
      </c>
      <c r="L298" s="109">
        <v>61.31</v>
      </c>
      <c r="N298" s="109">
        <v>61.31</v>
      </c>
      <c r="O298" s="1">
        <v>43493</v>
      </c>
      <c r="S298" s="1">
        <v>43493</v>
      </c>
    </row>
    <row r="299" spans="1:20" x14ac:dyDescent="0.25">
      <c r="A299" s="147" t="s">
        <v>645</v>
      </c>
      <c r="B299" s="148" t="s">
        <v>33</v>
      </c>
      <c r="C299" s="146">
        <v>43755</v>
      </c>
      <c r="E299" s="146">
        <v>43755</v>
      </c>
      <c r="L299" s="109">
        <v>13.58</v>
      </c>
      <c r="N299" s="109">
        <v>13.58</v>
      </c>
      <c r="O299" s="1">
        <v>43755</v>
      </c>
      <c r="S299" s="1">
        <v>43755</v>
      </c>
    </row>
    <row r="300" spans="1:20" x14ac:dyDescent="0.25">
      <c r="A300" s="147" t="s">
        <v>645</v>
      </c>
      <c r="B300" s="148" t="s">
        <v>33</v>
      </c>
      <c r="C300" s="146">
        <v>43769</v>
      </c>
      <c r="E300" s="146">
        <v>43769</v>
      </c>
      <c r="L300" s="109">
        <v>13.58</v>
      </c>
      <c r="N300" s="109">
        <v>13.58</v>
      </c>
      <c r="O300" s="1">
        <v>43769</v>
      </c>
      <c r="S300" s="1">
        <v>43769</v>
      </c>
    </row>
    <row r="301" spans="1:20" x14ac:dyDescent="0.25">
      <c r="A301" s="147" t="s">
        <v>645</v>
      </c>
      <c r="B301" s="148" t="s">
        <v>33</v>
      </c>
      <c r="C301" s="146">
        <v>43798</v>
      </c>
      <c r="E301" s="146">
        <v>43798</v>
      </c>
      <c r="L301" s="109">
        <v>43.39</v>
      </c>
      <c r="N301" s="109">
        <v>43.39</v>
      </c>
      <c r="O301" s="1">
        <v>43798</v>
      </c>
      <c r="S301" s="1">
        <v>43798</v>
      </c>
    </row>
    <row r="302" spans="1:20" ht="26.4" x14ac:dyDescent="0.25">
      <c r="A302" s="89" t="s">
        <v>645</v>
      </c>
      <c r="B302" s="90" t="s">
        <v>33</v>
      </c>
      <c r="C302" s="90" t="s">
        <v>743</v>
      </c>
      <c r="D302" s="89" t="s">
        <v>744</v>
      </c>
      <c r="E302" s="16">
        <v>43859</v>
      </c>
      <c r="G302" s="12">
        <v>1061.28</v>
      </c>
      <c r="H302" s="12">
        <v>301</v>
      </c>
      <c r="J302" s="12">
        <f>464.64+219.68</f>
        <v>684.31999999999994</v>
      </c>
      <c r="L302" s="12">
        <v>69.17</v>
      </c>
      <c r="O302" s="13">
        <v>43862</v>
      </c>
      <c r="P302" s="91" t="s">
        <v>24</v>
      </c>
    </row>
    <row r="303" spans="1:20" x14ac:dyDescent="0.25">
      <c r="A303" s="9" t="s">
        <v>745</v>
      </c>
    </row>
    <row r="304" spans="1:20" x14ac:dyDescent="0.25">
      <c r="A304" s="9" t="s">
        <v>697</v>
      </c>
      <c r="B304" s="10" t="s">
        <v>33</v>
      </c>
      <c r="G304" s="12">
        <f>5+319+285</f>
        <v>609</v>
      </c>
      <c r="J304" s="12">
        <f>5+319+258</f>
        <v>582</v>
      </c>
      <c r="L304" s="12">
        <f>G304-J304</f>
        <v>27</v>
      </c>
      <c r="N304" s="12">
        <v>27</v>
      </c>
    </row>
  </sheetData>
  <autoFilter ref="A5:T302" xr:uid="{00000000-0009-0000-0000-000000000000}"/>
  <mergeCells count="24">
    <mergeCell ref="P212:Q212"/>
    <mergeCell ref="P142:Q142"/>
    <mergeCell ref="O129:O130"/>
    <mergeCell ref="N129:N130"/>
    <mergeCell ref="N123:N127"/>
    <mergeCell ref="N114:N117"/>
    <mergeCell ref="N136:N140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</mergeCells>
  <phoneticPr fontId="2" type="noConversion"/>
  <pageMargins left="0.5" right="0.5" top="0.5" bottom="0.5" header="0.25" footer="0.25"/>
  <pageSetup scale="61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3"/>
  <sheetViews>
    <sheetView workbookViewId="0">
      <selection activeCell="B21" sqref="B21"/>
    </sheetView>
  </sheetViews>
  <sheetFormatPr defaultRowHeight="13.2" x14ac:dyDescent="0.25"/>
  <cols>
    <col min="2" max="2" width="143.88671875" bestFit="1" customWidth="1"/>
  </cols>
  <sheetData>
    <row r="2" spans="1:2" x14ac:dyDescent="0.25">
      <c r="A2" s="1">
        <v>42769</v>
      </c>
      <c r="B2" s="120" t="s">
        <v>568</v>
      </c>
    </row>
    <row r="3" spans="1:2" x14ac:dyDescent="0.25">
      <c r="B3" s="120" t="s">
        <v>569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4:R96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C97" sqref="C97"/>
    </sheetView>
  </sheetViews>
  <sheetFormatPr defaultRowHeight="13.2" x14ac:dyDescent="0.25"/>
  <cols>
    <col min="1" max="1" width="15.6640625" customWidth="1"/>
    <col min="3" max="3" width="34.33203125" bestFit="1" customWidth="1"/>
    <col min="4" max="4" width="10.109375" bestFit="1" customWidth="1"/>
    <col min="5" max="5" width="4.5546875" customWidth="1"/>
    <col min="6" max="6" width="9.109375" style="36"/>
    <col min="7" max="7" width="16.44140625" bestFit="1" customWidth="1"/>
    <col min="8" max="8" width="10.109375" bestFit="1" customWidth="1"/>
    <col min="9" max="9" width="22.109375" bestFit="1" customWidth="1"/>
    <col min="10" max="10" width="10.5546875" bestFit="1" customWidth="1"/>
  </cols>
  <sheetData>
    <row r="4" spans="1:10" x14ac:dyDescent="0.25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5">
      <c r="H5">
        <v>526.97</v>
      </c>
    </row>
    <row r="6" spans="1:10" x14ac:dyDescent="0.25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5">
      <c r="A7" s="1"/>
      <c r="H7" s="3">
        <v>488.47</v>
      </c>
    </row>
    <row r="8" spans="1:10" x14ac:dyDescent="0.25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5">
      <c r="A9" s="1"/>
      <c r="H9" s="3"/>
    </row>
    <row r="10" spans="1:10" x14ac:dyDescent="0.25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5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5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5">
      <c r="A13" s="1">
        <v>39400</v>
      </c>
      <c r="H13">
        <v>481.4</v>
      </c>
    </row>
    <row r="14" spans="1:10" x14ac:dyDescent="0.25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5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5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5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5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5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5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5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5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5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5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5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5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5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5">
      <c r="H31">
        <v>980.87</v>
      </c>
    </row>
    <row r="32" spans="1:10" x14ac:dyDescent="0.25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5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5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5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5">
      <c r="G36" s="3">
        <f>H36-H35</f>
        <v>0.76999999999998181</v>
      </c>
      <c r="H36">
        <v>992.26</v>
      </c>
    </row>
    <row r="37" spans="1:18" x14ac:dyDescent="0.25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5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5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5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5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5">
      <c r="G42" s="10">
        <v>125</v>
      </c>
      <c r="H42" s="12">
        <f t="shared" si="1"/>
        <v>649.86000000000013</v>
      </c>
    </row>
    <row r="43" spans="1:18" s="10" customFormat="1" x14ac:dyDescent="0.25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5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5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5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5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5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5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5">
      <c r="A50" t="s">
        <v>211</v>
      </c>
      <c r="G50" s="50">
        <v>250.41</v>
      </c>
      <c r="H50" s="12">
        <f t="shared" si="2"/>
        <v>635</v>
      </c>
    </row>
    <row r="51" spans="1:9" x14ac:dyDescent="0.25">
      <c r="A51" t="s">
        <v>212</v>
      </c>
      <c r="G51" s="50">
        <v>250.77</v>
      </c>
      <c r="H51" s="12">
        <f t="shared" si="2"/>
        <v>885.77</v>
      </c>
    </row>
    <row r="52" spans="1:9" x14ac:dyDescent="0.25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5">
      <c r="A53" t="s">
        <v>213</v>
      </c>
      <c r="G53" s="50">
        <v>250.93</v>
      </c>
      <c r="H53" s="12">
        <f t="shared" si="2"/>
        <v>1116.29</v>
      </c>
    </row>
    <row r="54" spans="1:9" x14ac:dyDescent="0.25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5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5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5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5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5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5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5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5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5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5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5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5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5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5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6.4" x14ac:dyDescent="0.25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5">
      <c r="C70" s="9"/>
    </row>
    <row r="71" spans="1:14" x14ac:dyDescent="0.25">
      <c r="A71" s="1">
        <v>40787</v>
      </c>
      <c r="H71">
        <v>339.25</v>
      </c>
    </row>
    <row r="72" spans="1:14" x14ac:dyDescent="0.25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5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5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5">
      <c r="A75" s="1"/>
      <c r="L75">
        <f>M75/24</f>
        <v>100</v>
      </c>
      <c r="M75">
        <v>2400</v>
      </c>
      <c r="N75" s="88" t="s">
        <v>422</v>
      </c>
    </row>
    <row r="76" spans="1:14" x14ac:dyDescent="0.25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5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5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5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5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5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5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5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5">
      <c r="A89" s="1">
        <v>42302</v>
      </c>
      <c r="H89" s="109">
        <v>1627.17</v>
      </c>
    </row>
    <row r="90" spans="1:10" x14ac:dyDescent="0.25">
      <c r="C90" t="s">
        <v>513</v>
      </c>
      <c r="F90" s="36">
        <v>936.68</v>
      </c>
      <c r="H90" s="109">
        <f>H89-F90</f>
        <v>690.49000000000012</v>
      </c>
    </row>
    <row r="92" spans="1:10" x14ac:dyDescent="0.25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5">
      <c r="C93" t="s">
        <v>519</v>
      </c>
      <c r="F93" s="36">
        <v>200.9</v>
      </c>
      <c r="H93" s="109">
        <f>H92-F93</f>
        <v>1182.3599999999999</v>
      </c>
    </row>
    <row r="95" spans="1:10" x14ac:dyDescent="0.25">
      <c r="A95" s="1">
        <v>42417</v>
      </c>
      <c r="C95" t="s">
        <v>408</v>
      </c>
      <c r="H95">
        <v>2551.9499999999998</v>
      </c>
    </row>
    <row r="96" spans="1:10" x14ac:dyDescent="0.25">
      <c r="C96" t="s">
        <v>519</v>
      </c>
      <c r="F96" s="12">
        <v>142.80000000000001</v>
      </c>
      <c r="H96" s="109">
        <f>H95-F96</f>
        <v>2409.1499999999996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3:L27"/>
  <sheetViews>
    <sheetView workbookViewId="0">
      <selection activeCell="I29" sqref="I29"/>
    </sheetView>
  </sheetViews>
  <sheetFormatPr defaultRowHeight="13.2" x14ac:dyDescent="0.25"/>
  <cols>
    <col min="1" max="1" width="9.88671875" bestFit="1" customWidth="1"/>
    <col min="2" max="2" width="14" bestFit="1" customWidth="1"/>
    <col min="4" max="4" width="13.88671875" bestFit="1" customWidth="1"/>
    <col min="5" max="5" width="12.5546875" bestFit="1" customWidth="1"/>
    <col min="6" max="6" width="18" bestFit="1" customWidth="1"/>
    <col min="7" max="7" width="9.5546875" bestFit="1" customWidth="1"/>
    <col min="8" max="8" width="9.33203125" bestFit="1" customWidth="1"/>
    <col min="10" max="10" width="9" bestFit="1" customWidth="1"/>
  </cols>
  <sheetData>
    <row r="3" spans="1:11" x14ac:dyDescent="0.25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5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5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5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5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5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5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5">
      <c r="I10">
        <f t="shared" si="0"/>
        <v>0</v>
      </c>
      <c r="K10">
        <f t="shared" si="1"/>
        <v>-150</v>
      </c>
    </row>
    <row r="11" spans="1:11" x14ac:dyDescent="0.25">
      <c r="I11">
        <f t="shared" si="0"/>
        <v>0</v>
      </c>
      <c r="K11">
        <f t="shared" si="1"/>
        <v>-150</v>
      </c>
    </row>
    <row r="15" spans="1:11" x14ac:dyDescent="0.25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5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5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5">
      <c r="B19" t="s">
        <v>230</v>
      </c>
      <c r="C19" t="s">
        <v>231</v>
      </c>
      <c r="E19">
        <v>141.30000000000001</v>
      </c>
    </row>
    <row r="20" spans="1:12" x14ac:dyDescent="0.25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5">
      <c r="B21" t="s">
        <v>226</v>
      </c>
      <c r="C21" t="s">
        <v>217</v>
      </c>
      <c r="E21">
        <v>141.30000000000001</v>
      </c>
    </row>
    <row r="22" spans="1:12" x14ac:dyDescent="0.25">
      <c r="B22" t="s">
        <v>227</v>
      </c>
      <c r="C22" t="s">
        <v>217</v>
      </c>
      <c r="E22">
        <v>141.30000000000001</v>
      </c>
    </row>
    <row r="23" spans="1:12" x14ac:dyDescent="0.25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5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5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5">
      <c r="A26" t="s">
        <v>188</v>
      </c>
      <c r="B26" t="s">
        <v>220</v>
      </c>
      <c r="E26">
        <v>125.6</v>
      </c>
      <c r="L26" t="s">
        <v>229</v>
      </c>
    </row>
    <row r="27" spans="1:12" x14ac:dyDescent="0.25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3.2" x14ac:dyDescent="0.25"/>
  <cols>
    <col min="1" max="1" width="40.109375" customWidth="1"/>
    <col min="3" max="3" width="6" bestFit="1" customWidth="1"/>
    <col min="4" max="4" width="13.44140625" bestFit="1" customWidth="1"/>
    <col min="5" max="5" width="10.109375" bestFit="1" customWidth="1"/>
    <col min="7" max="7" width="26.6640625" bestFit="1" customWidth="1"/>
    <col min="8" max="8" width="14.33203125" bestFit="1" customWidth="1"/>
    <col min="9" max="9" width="5.33203125" customWidth="1"/>
    <col min="10" max="10" width="10" bestFit="1" customWidth="1"/>
    <col min="12" max="12" width="10.109375" bestFit="1" customWidth="1"/>
    <col min="13" max="13" width="6.88671875" bestFit="1" customWidth="1"/>
  </cols>
  <sheetData>
    <row r="1" spans="1:13" x14ac:dyDescent="0.25">
      <c r="A1" t="s">
        <v>90</v>
      </c>
    </row>
    <row r="3" spans="1:13" x14ac:dyDescent="0.25">
      <c r="A3" t="s">
        <v>91</v>
      </c>
      <c r="B3">
        <v>208.33</v>
      </c>
    </row>
    <row r="4" spans="1:13" x14ac:dyDescent="0.25">
      <c r="A4" t="s">
        <v>92</v>
      </c>
      <c r="B4">
        <v>5000</v>
      </c>
      <c r="J4">
        <f>J6*24</f>
        <v>4999.9920000000002</v>
      </c>
    </row>
    <row r="6" spans="1:13" x14ac:dyDescent="0.25">
      <c r="H6" t="s">
        <v>141</v>
      </c>
      <c r="J6">
        <v>208.333</v>
      </c>
    </row>
    <row r="7" spans="1:13" s="34" customFormat="1" ht="39.6" x14ac:dyDescent="0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5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5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5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5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5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5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5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5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5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5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5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5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5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5"/>
    <row r="22" spans="1:12" s="48" customFormat="1" x14ac:dyDescent="0.25">
      <c r="A22" s="48" t="s">
        <v>205</v>
      </c>
    </row>
    <row r="23" spans="1:12" x14ac:dyDescent="0.25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5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5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5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5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5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5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5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5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5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5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5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5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5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5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5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5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5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5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5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5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5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5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5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5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5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5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5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5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5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5">
      <c r="A54" s="75" t="s">
        <v>343</v>
      </c>
      <c r="B54">
        <v>1600</v>
      </c>
      <c r="D54">
        <v>1600</v>
      </c>
      <c r="E54" s="1">
        <v>40527</v>
      </c>
    </row>
    <row r="55" spans="1:13" x14ac:dyDescent="0.25">
      <c r="A55" s="75" t="s">
        <v>345</v>
      </c>
      <c r="B55">
        <v>381.5</v>
      </c>
      <c r="E55" s="1">
        <v>40527</v>
      </c>
    </row>
    <row r="56" spans="1:13" x14ac:dyDescent="0.25">
      <c r="A56" s="75" t="s">
        <v>344</v>
      </c>
      <c r="B56">
        <v>372</v>
      </c>
      <c r="E56" s="1">
        <v>40557</v>
      </c>
    </row>
    <row r="57" spans="1:13" x14ac:dyDescent="0.25">
      <c r="A57" s="75" t="s">
        <v>346</v>
      </c>
      <c r="B57">
        <v>336</v>
      </c>
      <c r="E57" s="1">
        <v>40557</v>
      </c>
    </row>
    <row r="58" spans="1:13" x14ac:dyDescent="0.25">
      <c r="A58" s="75" t="s">
        <v>347</v>
      </c>
      <c r="B58">
        <v>374.5</v>
      </c>
      <c r="E58" s="1">
        <v>40557</v>
      </c>
    </row>
    <row r="59" spans="1:13" x14ac:dyDescent="0.25">
      <c r="E59" s="1"/>
    </row>
    <row r="60" spans="1:13" x14ac:dyDescent="0.25">
      <c r="A60" s="75" t="s">
        <v>63</v>
      </c>
      <c r="B60">
        <f>SUM(B54:B58)/2+B53</f>
        <v>2468</v>
      </c>
    </row>
    <row r="61" spans="1:13" x14ac:dyDescent="0.25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/>
  <dimension ref="A2:E5"/>
  <sheetViews>
    <sheetView workbookViewId="0">
      <selection activeCell="A22" sqref="A22"/>
    </sheetView>
  </sheetViews>
  <sheetFormatPr defaultRowHeight="13.2" x14ac:dyDescent="0.25"/>
  <cols>
    <col min="2" max="2" width="10.109375" bestFit="1" customWidth="1"/>
    <col min="3" max="3" width="10.109375" customWidth="1"/>
    <col min="4" max="4" width="10.33203125" style="8" bestFit="1" customWidth="1"/>
  </cols>
  <sheetData>
    <row r="2" spans="1:5" x14ac:dyDescent="0.25">
      <c r="A2" t="s">
        <v>57</v>
      </c>
      <c r="B2" s="1">
        <v>39386</v>
      </c>
      <c r="C2" t="s">
        <v>60</v>
      </c>
      <c r="D2" s="8">
        <v>1972.65</v>
      </c>
    </row>
    <row r="3" spans="1:5" x14ac:dyDescent="0.2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5"/>
  <sheetViews>
    <sheetView workbookViewId="0">
      <selection activeCell="B12" sqref="B12"/>
    </sheetView>
  </sheetViews>
  <sheetFormatPr defaultColWidth="22.88671875" defaultRowHeight="13.2" x14ac:dyDescent="0.25"/>
  <cols>
    <col min="1" max="1" width="32.6640625" customWidth="1"/>
    <col min="2" max="2" width="11.33203125" bestFit="1" customWidth="1"/>
    <col min="3" max="4" width="10.44140625" bestFit="1" customWidth="1"/>
    <col min="5" max="5" width="9.5546875" bestFit="1" customWidth="1"/>
  </cols>
  <sheetData>
    <row r="1" spans="1:5" x14ac:dyDescent="0.25">
      <c r="A1" t="s">
        <v>372</v>
      </c>
    </row>
    <row r="7" spans="1:5" ht="31.2" x14ac:dyDescent="0.2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6" x14ac:dyDescent="0.25">
      <c r="A8" s="76" t="s">
        <v>376</v>
      </c>
      <c r="B8" s="77">
        <v>250</v>
      </c>
      <c r="C8" s="173" t="s">
        <v>383</v>
      </c>
      <c r="D8" s="76"/>
      <c r="E8" s="76"/>
    </row>
    <row r="9" spans="1:5" ht="15.6" x14ac:dyDescent="0.25">
      <c r="A9" s="78" t="s">
        <v>381</v>
      </c>
      <c r="B9" s="77">
        <f>105*3</f>
        <v>315</v>
      </c>
      <c r="C9" s="173"/>
      <c r="D9" s="76"/>
      <c r="E9" s="79"/>
    </row>
    <row r="10" spans="1:5" ht="15.6" x14ac:dyDescent="0.25">
      <c r="A10" s="76" t="s">
        <v>377</v>
      </c>
      <c r="B10" s="77">
        <v>55</v>
      </c>
      <c r="C10" s="76"/>
      <c r="D10" s="174">
        <v>-160</v>
      </c>
      <c r="E10" s="76"/>
    </row>
    <row r="11" spans="1:5" ht="15.6" x14ac:dyDescent="0.25">
      <c r="A11" s="76" t="s">
        <v>378</v>
      </c>
      <c r="B11" s="77">
        <v>105</v>
      </c>
      <c r="C11" s="174">
        <v>-441</v>
      </c>
      <c r="D11" s="174"/>
      <c r="E11" s="76"/>
    </row>
    <row r="12" spans="1:5" ht="15.6" x14ac:dyDescent="0.25">
      <c r="A12" s="76" t="s">
        <v>382</v>
      </c>
      <c r="B12" s="77">
        <f>105*5</f>
        <v>525</v>
      </c>
      <c r="C12" s="174"/>
      <c r="D12" s="76"/>
      <c r="E12" s="76"/>
    </row>
    <row r="13" spans="1:5" ht="15.6" x14ac:dyDescent="0.25">
      <c r="A13" s="80" t="s">
        <v>384</v>
      </c>
      <c r="B13" s="81">
        <v>11.3</v>
      </c>
      <c r="C13" s="82"/>
      <c r="D13" s="80"/>
      <c r="E13" s="80"/>
    </row>
    <row r="14" spans="1:5" ht="16.2" thickBot="1" x14ac:dyDescent="0.3">
      <c r="A14" s="80" t="s">
        <v>384</v>
      </c>
      <c r="B14" s="81">
        <v>15.31</v>
      </c>
      <c r="C14" s="82"/>
      <c r="D14" s="80"/>
      <c r="E14" s="80"/>
    </row>
    <row r="15" spans="1:5" ht="16.2" thickBot="1" x14ac:dyDescent="0.3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2007-17 medical bills</vt:lpstr>
      <vt:lpstr>Rx notes</vt:lpstr>
      <vt:lpstr>HSA</vt:lpstr>
      <vt:lpstr>childcare</vt:lpstr>
      <vt:lpstr>DCAP</vt:lpstr>
      <vt:lpstr>2007 ShTermDis</vt:lpstr>
      <vt:lpstr>gary mackendrick</vt:lpstr>
      <vt:lpstr>'2007-17 medical bills'!Print_Area</vt:lpstr>
    </vt:vector>
  </TitlesOfParts>
  <Company>Intel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keywords>CTPClassification=CTP_NWR:VisualMarkings=, CTPClassification=CTP_NT</cp:keywords>
  <cp:lastModifiedBy>RBR</cp:lastModifiedBy>
  <cp:lastPrinted>2008-01-04T19:23:50Z</cp:lastPrinted>
  <dcterms:created xsi:type="dcterms:W3CDTF">2007-11-15T19:36:44Z</dcterms:created>
  <dcterms:modified xsi:type="dcterms:W3CDTF">2020-11-10T17:54:24Z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fced664d-4e88-43a5-88da-45b6339860d8</vt:lpwstr>
  </property>
  <property fmtid="{D5CDD505-2E9C-101B-9397-08002B2CF9AE}" pid="3" name="CTP_TimeStamp">
    <vt:lpwstr>2020-01-22 00:23:15Z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CTP_NT</vt:lpwstr>
  </property>
</Properties>
</file>