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brobert\Documents\misc\health_medical\"/>
    </mc:Choice>
  </mc:AlternateContent>
  <bookViews>
    <workbookView xWindow="-12" yWindow="-12" windowWidth="16548" windowHeight="8256"/>
  </bookViews>
  <sheets>
    <sheet name="2007-11 medical bills" sheetId="1" r:id="rId1"/>
    <sheet name="HSA" sheetId="2" r:id="rId2"/>
    <sheet name="childcare" sheetId="5" r:id="rId3"/>
    <sheet name="DCAP" sheetId="4" r:id="rId4"/>
    <sheet name="2007 ShTermDis" sheetId="3" r:id="rId5"/>
    <sheet name="gary mackendrick" sheetId="6" r:id="rId6"/>
  </sheets>
  <definedNames>
    <definedName name="_xlnm._FilterDatabase" localSheetId="0" hidden="1">'2007-11 medical bills'!$A$5:$T$192</definedName>
    <definedName name="_xlnm.Print_Area" localSheetId="0">'2007-11 medical bills'!$A:$T</definedName>
  </definedNames>
  <calcPr calcId="152511"/>
</workbook>
</file>

<file path=xl/calcChain.xml><?xml version="1.0" encoding="utf-8"?>
<calcChain xmlns="http://schemas.openxmlformats.org/spreadsheetml/2006/main">
  <c r="L194" i="1" l="1"/>
  <c r="G194" i="1"/>
  <c r="E15" i="6" l="1"/>
  <c r="D15" i="6"/>
  <c r="C15" i="6"/>
  <c r="B15" i="6"/>
  <c r="B12" i="6"/>
  <c r="B9" i="6"/>
  <c r="B61" i="4"/>
  <c r="B60" i="4"/>
  <c r="B53" i="4"/>
  <c r="L51" i="4"/>
  <c r="D51" i="4"/>
  <c r="M50" i="4"/>
  <c r="L50" i="4"/>
  <c r="K50" i="4"/>
  <c r="C50" i="4"/>
  <c r="B50" i="4"/>
  <c r="M49" i="4"/>
  <c r="L49" i="4"/>
  <c r="K49" i="4"/>
  <c r="J49" i="4"/>
  <c r="M48" i="4"/>
  <c r="L48" i="4"/>
  <c r="K48" i="4"/>
  <c r="C48" i="4"/>
  <c r="B48" i="4"/>
  <c r="M47" i="4"/>
  <c r="L47" i="4"/>
  <c r="K47" i="4"/>
  <c r="J47" i="4"/>
  <c r="M46" i="4"/>
  <c r="L46" i="4"/>
  <c r="K46" i="4"/>
  <c r="C46" i="4"/>
  <c r="B46" i="4"/>
  <c r="M45" i="4"/>
  <c r="L45" i="4"/>
  <c r="K45" i="4"/>
  <c r="M44" i="4"/>
  <c r="L44" i="4"/>
  <c r="K44" i="4"/>
  <c r="J44" i="4"/>
  <c r="M43" i="4"/>
  <c r="L43" i="4"/>
  <c r="K43" i="4"/>
  <c r="C43" i="4"/>
  <c r="B43" i="4"/>
  <c r="M42" i="4"/>
  <c r="L42" i="4"/>
  <c r="K42" i="4"/>
  <c r="J42" i="4"/>
  <c r="M41" i="4"/>
  <c r="L41" i="4"/>
  <c r="K41" i="4"/>
  <c r="B41" i="4"/>
  <c r="M40" i="4"/>
  <c r="L40" i="4"/>
  <c r="K40" i="4"/>
  <c r="J40" i="4"/>
  <c r="M39" i="4"/>
  <c r="L39" i="4"/>
  <c r="K39" i="4"/>
  <c r="B39" i="4"/>
  <c r="M38" i="4"/>
  <c r="L38" i="4"/>
  <c r="K38" i="4"/>
  <c r="J38" i="4"/>
  <c r="M37" i="4"/>
  <c r="L37" i="4"/>
  <c r="K37" i="4"/>
  <c r="B37" i="4"/>
  <c r="M36" i="4"/>
  <c r="L36" i="4"/>
  <c r="J36" i="4"/>
  <c r="M35" i="4"/>
  <c r="L35" i="4"/>
  <c r="K35" i="4"/>
  <c r="B35" i="4"/>
  <c r="M34" i="4"/>
  <c r="L34" i="4"/>
  <c r="K34" i="4"/>
  <c r="J34" i="4"/>
  <c r="L33" i="4"/>
  <c r="K33" i="4"/>
  <c r="D33" i="4"/>
  <c r="B33" i="4"/>
  <c r="K32" i="4"/>
  <c r="J32" i="4"/>
  <c r="K31" i="4"/>
  <c r="D31" i="4"/>
  <c r="B31" i="4"/>
  <c r="K30" i="4"/>
  <c r="J30" i="4"/>
  <c r="K29" i="4"/>
  <c r="B29" i="4"/>
  <c r="K28" i="4"/>
  <c r="K27" i="4"/>
  <c r="J27" i="4"/>
  <c r="K26" i="4"/>
  <c r="J26" i="4"/>
  <c r="K25" i="4"/>
  <c r="K24" i="4"/>
  <c r="J24" i="4"/>
  <c r="K23" i="4"/>
  <c r="J23" i="4"/>
  <c r="L20" i="4"/>
  <c r="L19" i="4"/>
  <c r="B19" i="4"/>
  <c r="L18" i="4"/>
  <c r="K18" i="4"/>
  <c r="K17" i="4"/>
  <c r="J17" i="4"/>
  <c r="L16" i="4"/>
  <c r="K16" i="4"/>
  <c r="K15" i="4"/>
  <c r="J15" i="4"/>
  <c r="L14" i="4"/>
  <c r="K14" i="4"/>
  <c r="L13" i="4"/>
  <c r="K13" i="4"/>
  <c r="K12" i="4"/>
  <c r="J12" i="4"/>
  <c r="L11" i="4"/>
  <c r="K11" i="4"/>
  <c r="K10" i="4"/>
  <c r="J10" i="4"/>
  <c r="L9" i="4"/>
  <c r="K9" i="4"/>
  <c r="K8" i="4"/>
  <c r="J4" i="4"/>
  <c r="I27" i="5"/>
  <c r="I20" i="5"/>
  <c r="F17" i="5"/>
  <c r="E17" i="5"/>
  <c r="D17" i="5"/>
  <c r="F16" i="5"/>
  <c r="E16" i="5"/>
  <c r="D16" i="5"/>
  <c r="K15" i="5"/>
  <c r="J15" i="5"/>
  <c r="I15" i="5"/>
  <c r="H15" i="5"/>
  <c r="G15" i="5"/>
  <c r="F15" i="5"/>
  <c r="E15" i="5"/>
  <c r="D15" i="5"/>
  <c r="K11" i="5"/>
  <c r="I11" i="5"/>
  <c r="K10" i="5"/>
  <c r="I10" i="5"/>
  <c r="K9" i="5"/>
  <c r="I9" i="5"/>
  <c r="K8" i="5"/>
  <c r="I8" i="5"/>
  <c r="H8" i="5"/>
  <c r="K7" i="5"/>
  <c r="I7" i="5"/>
  <c r="H7" i="5"/>
  <c r="K6" i="5"/>
  <c r="I6" i="5"/>
  <c r="K5" i="5"/>
  <c r="I5" i="5"/>
  <c r="K4" i="5"/>
  <c r="I4" i="5"/>
  <c r="H93" i="2"/>
  <c r="J92" i="2"/>
  <c r="H90" i="2"/>
  <c r="H83" i="2"/>
  <c r="H82" i="2"/>
  <c r="H81" i="2"/>
  <c r="F81" i="2"/>
  <c r="L80" i="2"/>
  <c r="H80" i="2"/>
  <c r="M79" i="2"/>
  <c r="H79" i="2"/>
  <c r="M78" i="2"/>
  <c r="H78" i="2"/>
  <c r="M77" i="2"/>
  <c r="H77" i="2"/>
  <c r="M76" i="2"/>
  <c r="L75" i="2"/>
  <c r="M74" i="2"/>
  <c r="H74" i="2"/>
  <c r="H73" i="2"/>
  <c r="F73" i="2"/>
  <c r="H72" i="2"/>
  <c r="H68" i="2"/>
  <c r="H67" i="2"/>
  <c r="H66" i="2"/>
  <c r="G66" i="2"/>
  <c r="H65" i="2"/>
  <c r="F65" i="2"/>
  <c r="H64" i="2"/>
  <c r="F64" i="2"/>
  <c r="H63" i="2"/>
  <c r="G63" i="2"/>
  <c r="H62" i="2"/>
  <c r="H61" i="2"/>
  <c r="H60" i="2"/>
  <c r="G60" i="2"/>
  <c r="H59" i="2"/>
  <c r="F59" i="2"/>
  <c r="H58" i="2"/>
  <c r="H57" i="2"/>
  <c r="H56" i="2"/>
  <c r="G56" i="2"/>
  <c r="H55" i="2"/>
  <c r="G55" i="2"/>
  <c r="H54" i="2"/>
  <c r="H53" i="2"/>
  <c r="H52" i="2"/>
  <c r="H51" i="2"/>
  <c r="H50" i="2"/>
  <c r="H49" i="2"/>
  <c r="G48" i="2"/>
  <c r="H47" i="2"/>
  <c r="G47" i="2"/>
  <c r="H46" i="2"/>
  <c r="H45" i="2"/>
  <c r="H44" i="2"/>
  <c r="H43" i="2"/>
  <c r="H42" i="2"/>
  <c r="H41" i="2"/>
  <c r="H40" i="2"/>
  <c r="H39" i="2"/>
  <c r="H38" i="2"/>
  <c r="G38" i="2"/>
  <c r="H37" i="2"/>
  <c r="G36" i="2"/>
  <c r="H35" i="2"/>
  <c r="G35" i="2"/>
  <c r="H34" i="2"/>
  <c r="F34" i="2"/>
  <c r="H33" i="2"/>
  <c r="H32" i="2"/>
  <c r="H25" i="2"/>
  <c r="H24" i="2"/>
  <c r="H23" i="2"/>
  <c r="H22" i="2"/>
  <c r="H21" i="2"/>
  <c r="H20" i="2"/>
  <c r="H19" i="2"/>
  <c r="H18" i="2"/>
  <c r="H17" i="2"/>
  <c r="H16" i="2"/>
  <c r="H15" i="2"/>
  <c r="H14" i="2"/>
  <c r="H12" i="2"/>
  <c r="H11" i="2"/>
  <c r="H10" i="2"/>
  <c r="H8" i="2"/>
  <c r="H6" i="2"/>
  <c r="J191" i="1"/>
  <c r="L189" i="1"/>
  <c r="L188" i="1"/>
  <c r="J188" i="1"/>
  <c r="H188" i="1"/>
  <c r="G188" i="1"/>
  <c r="J186" i="1"/>
  <c r="G186" i="1"/>
  <c r="J185" i="1"/>
  <c r="G185" i="1"/>
  <c r="L184" i="1"/>
  <c r="J184" i="1"/>
  <c r="H184" i="1"/>
  <c r="G184" i="1"/>
  <c r="G182" i="1"/>
  <c r="L181" i="1"/>
  <c r="J181" i="1"/>
  <c r="H181" i="1"/>
  <c r="G181" i="1"/>
  <c r="L174" i="1"/>
  <c r="J174" i="1"/>
  <c r="H174" i="1"/>
  <c r="G174" i="1"/>
  <c r="J173" i="1"/>
  <c r="L172" i="1"/>
  <c r="J172" i="1"/>
  <c r="I172" i="1"/>
  <c r="G172" i="1"/>
  <c r="L171" i="1"/>
  <c r="G171" i="1"/>
  <c r="L170" i="1"/>
  <c r="J170" i="1"/>
  <c r="G170" i="1"/>
  <c r="G168" i="1"/>
  <c r="M167" i="1"/>
  <c r="L167" i="1"/>
  <c r="G167" i="1"/>
  <c r="L161" i="1"/>
  <c r="M161" i="1" s="1"/>
  <c r="J161" i="1"/>
  <c r="G161" i="1"/>
  <c r="L160" i="1"/>
  <c r="J160" i="1"/>
  <c r="G160" i="1"/>
  <c r="L159" i="1"/>
  <c r="G159" i="1"/>
  <c r="L156" i="1"/>
  <c r="M157" i="1" s="1"/>
  <c r="K157" i="1" s="1"/>
  <c r="G156" i="1"/>
  <c r="L155" i="1"/>
  <c r="G155" i="1"/>
  <c r="L154" i="1"/>
  <c r="L153" i="1"/>
  <c r="G152" i="1"/>
  <c r="L151" i="1"/>
  <c r="L150" i="1"/>
  <c r="G150" i="1"/>
  <c r="L149" i="1"/>
  <c r="G149" i="1"/>
  <c r="L148" i="1"/>
  <c r="G148" i="1"/>
  <c r="M147" i="1"/>
  <c r="L147" i="1"/>
  <c r="G147" i="1"/>
  <c r="L146" i="1"/>
  <c r="L143" i="1"/>
  <c r="G143" i="1"/>
  <c r="G142" i="1"/>
  <c r="L141" i="1"/>
  <c r="J141" i="1"/>
  <c r="M140" i="1"/>
  <c r="L140" i="1"/>
  <c r="G140" i="1"/>
  <c r="L139" i="1"/>
  <c r="G139" i="1"/>
  <c r="L138" i="1"/>
  <c r="G138" i="1"/>
  <c r="L137" i="1"/>
  <c r="G137" i="1"/>
  <c r="M136" i="1"/>
  <c r="L136" i="1"/>
  <c r="G136" i="1"/>
  <c r="G135" i="1"/>
  <c r="G134" i="1"/>
  <c r="L131" i="1"/>
  <c r="L130" i="1"/>
  <c r="J130" i="1"/>
  <c r="H130" i="1"/>
  <c r="G130" i="1"/>
  <c r="L129" i="1"/>
  <c r="H129" i="1"/>
  <c r="G129" i="1"/>
  <c r="L128" i="1"/>
  <c r="H128" i="1"/>
  <c r="L127" i="1"/>
  <c r="G127" i="1"/>
  <c r="L126" i="1"/>
  <c r="G126" i="1"/>
  <c r="G123" i="1"/>
  <c r="L122" i="1"/>
  <c r="H122" i="1"/>
  <c r="G122" i="1"/>
  <c r="L121" i="1"/>
  <c r="H121" i="1"/>
  <c r="G121" i="1"/>
  <c r="L120" i="1"/>
  <c r="J120" i="1"/>
  <c r="H120" i="1"/>
  <c r="G120" i="1"/>
  <c r="L118" i="1"/>
  <c r="J118" i="1"/>
  <c r="H118" i="1"/>
  <c r="G118" i="1"/>
  <c r="J117" i="1"/>
  <c r="L117" i="1" s="1"/>
  <c r="G117" i="1"/>
  <c r="J116" i="1"/>
  <c r="L116" i="1" s="1"/>
  <c r="G116" i="1"/>
  <c r="J115" i="1"/>
  <c r="L115" i="1" s="1"/>
  <c r="M115" i="1" s="1"/>
  <c r="M116" i="1" s="1"/>
  <c r="M117" i="1" s="1"/>
  <c r="L114" i="1"/>
  <c r="G114" i="1"/>
  <c r="L113" i="1"/>
  <c r="J113" i="1"/>
  <c r="I113" i="1"/>
  <c r="H113" i="1"/>
  <c r="G113" i="1"/>
  <c r="H112" i="1"/>
  <c r="H111" i="1"/>
  <c r="G108" i="1"/>
  <c r="L107" i="1"/>
  <c r="G107" i="1"/>
  <c r="L106" i="1"/>
  <c r="K106" i="1"/>
  <c r="L104" i="1"/>
  <c r="H104" i="1"/>
  <c r="G104" i="1"/>
  <c r="L103" i="1"/>
  <c r="J103" i="1"/>
  <c r="G103" i="1"/>
  <c r="L102" i="1"/>
  <c r="J102" i="1"/>
  <c r="G102" i="1"/>
  <c r="L101" i="1"/>
  <c r="G101" i="1"/>
  <c r="L100" i="1"/>
  <c r="I100" i="1"/>
  <c r="H100" i="1"/>
  <c r="L99" i="1"/>
  <c r="I99" i="1"/>
  <c r="H99" i="1"/>
  <c r="G99" i="1"/>
  <c r="I97" i="1"/>
  <c r="G97" i="1"/>
  <c r="I96" i="1"/>
  <c r="L95" i="1"/>
  <c r="J95" i="1"/>
  <c r="G95" i="1"/>
  <c r="L94" i="1"/>
  <c r="J94" i="1"/>
  <c r="G94" i="1"/>
  <c r="L93" i="1"/>
  <c r="J93" i="1"/>
  <c r="G93" i="1"/>
  <c r="I92" i="1"/>
  <c r="H92" i="1"/>
  <c r="J91" i="1"/>
  <c r="H91" i="1"/>
  <c r="I91" i="1" s="1"/>
  <c r="L91" i="1" s="1"/>
  <c r="G91" i="1"/>
  <c r="L90" i="1"/>
  <c r="I89" i="1"/>
  <c r="L89" i="1" s="1"/>
  <c r="L88" i="1"/>
  <c r="I88" i="1"/>
  <c r="H88" i="1"/>
  <c r="G88" i="1"/>
  <c r="I87" i="1"/>
  <c r="G87" i="1"/>
  <c r="H86" i="1"/>
  <c r="I85" i="1"/>
  <c r="H85" i="1"/>
  <c r="G85" i="1"/>
  <c r="L83" i="1"/>
  <c r="G83" i="1"/>
  <c r="I82" i="1"/>
  <c r="L82" i="1" s="1"/>
  <c r="G81" i="1"/>
  <c r="I80" i="1"/>
  <c r="L80" i="1" s="1"/>
  <c r="L79" i="1"/>
  <c r="G79" i="1"/>
  <c r="G78" i="1"/>
  <c r="L77" i="1"/>
  <c r="L78" i="1" s="1"/>
  <c r="L76" i="1"/>
  <c r="L74" i="1"/>
  <c r="G74" i="1"/>
  <c r="L73" i="1"/>
  <c r="H73" i="1"/>
  <c r="I73" i="1" s="1"/>
  <c r="G73" i="1"/>
  <c r="L72" i="1"/>
  <c r="I72" i="1"/>
  <c r="H72" i="1"/>
  <c r="G72" i="1"/>
  <c r="L71" i="1"/>
  <c r="G71" i="1" s="1"/>
  <c r="I68" i="1"/>
  <c r="H68" i="1"/>
  <c r="I67" i="1"/>
  <c r="I66" i="1"/>
  <c r="I65" i="1"/>
  <c r="H64" i="1"/>
  <c r="H63" i="1"/>
  <c r="I60" i="1"/>
  <c r="I59" i="1"/>
  <c r="I58" i="1"/>
  <c r="I57" i="1"/>
  <c r="H57" i="1"/>
  <c r="G57" i="1"/>
  <c r="I56" i="1"/>
  <c r="I55" i="1"/>
  <c r="L54" i="1"/>
  <c r="I54" i="1"/>
  <c r="H54" i="1"/>
  <c r="G54" i="1"/>
  <c r="I52" i="1"/>
  <c r="H52" i="1"/>
  <c r="G52" i="1"/>
  <c r="H46" i="1"/>
  <c r="L45" i="1"/>
  <c r="I45" i="1"/>
  <c r="H45" i="1"/>
  <c r="G45" i="1"/>
  <c r="L43" i="1"/>
  <c r="I43" i="1"/>
  <c r="H43" i="1"/>
  <c r="G43" i="1"/>
  <c r="I35" i="1"/>
  <c r="L35" i="1" s="1"/>
  <c r="I32" i="1"/>
  <c r="L32" i="1" s="1"/>
  <c r="H32" i="1"/>
  <c r="G32" i="1"/>
  <c r="I31" i="1"/>
  <c r="L31" i="1" s="1"/>
  <c r="H31" i="1"/>
  <c r="G31" i="1"/>
  <c r="G29" i="1"/>
  <c r="I28" i="1"/>
  <c r="H28" i="1"/>
  <c r="G28" i="1"/>
  <c r="I27" i="1"/>
  <c r="H27" i="1"/>
  <c r="G27" i="1"/>
  <c r="I26" i="1"/>
  <c r="G26" i="1"/>
  <c r="I25" i="1"/>
  <c r="I24" i="1"/>
  <c r="L24" i="1" s="1"/>
  <c r="G24" i="1"/>
  <c r="I23" i="1"/>
  <c r="I22" i="1"/>
  <c r="G22" i="1"/>
  <c r="I21" i="1"/>
  <c r="I19" i="1"/>
  <c r="H18" i="1"/>
  <c r="G18" i="1"/>
  <c r="I17" i="1"/>
  <c r="I16" i="1"/>
  <c r="I15" i="1"/>
  <c r="I14" i="1"/>
  <c r="I13" i="1"/>
  <c r="I12" i="1"/>
  <c r="I11" i="1"/>
  <c r="I10" i="1"/>
  <c r="I9" i="1"/>
  <c r="I8" i="1"/>
  <c r="I7" i="1"/>
</calcChain>
</file>

<file path=xl/comments1.xml><?xml version="1.0" encoding="utf-8"?>
<comments xmlns="http://schemas.openxmlformats.org/spreadsheetml/2006/main">
  <authors>
    <author>rbrobert</author>
    <author>RBR</author>
    <author>Bailey Roberts, Roberta</author>
  </authors>
  <commentList>
    <comment ref="Q35" authorId="0" shapeId="0">
      <text>
        <r>
          <rPr>
            <b/>
            <sz val="8"/>
            <color indexed="81"/>
            <rFont val="Tahoma"/>
            <family val="2"/>
          </rPr>
          <t>rbrobert:</t>
        </r>
        <r>
          <rPr>
            <sz val="8"/>
            <color indexed="81"/>
            <rFont val="Tahoma"/>
            <family val="2"/>
          </rPr>
          <t xml:space="preserve">
check out of order, skipped 1761-2</t>
        </r>
      </text>
    </comment>
    <comment ref="E58" authorId="0" shapeId="0">
      <text>
        <r>
          <rPr>
            <b/>
            <sz val="8"/>
            <color indexed="81"/>
            <rFont val="Tahoma"/>
            <family val="2"/>
          </rPr>
          <t xml:space="preserve">Insurance not applied until 6/25/09
</t>
        </r>
      </text>
    </comment>
    <comment ref="L78" authorId="0" shapeId="0">
      <text>
        <r>
          <rPr>
            <b/>
            <sz val="8"/>
            <color indexed="81"/>
            <rFont val="Tahoma"/>
            <family val="2"/>
          </rPr>
          <t>assumed based on their estimated payment / insurance</t>
        </r>
      </text>
    </comment>
    <comment ref="M101" authorId="1" shapeId="0">
      <text>
        <r>
          <rPr>
            <b/>
            <sz val="9"/>
            <color indexed="81"/>
            <rFont val="Tahoma"/>
            <family val="2"/>
          </rPr>
          <t>finance charge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2" authorId="1" shapeId="0">
      <text>
        <r>
          <rPr>
            <b/>
            <sz val="9"/>
            <color indexed="81"/>
            <rFont val="Tahoma"/>
            <family val="2"/>
          </rPr>
          <t>estimate</t>
        </r>
      </text>
    </comment>
    <comment ref="J103" authorId="1" shapeId="0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G106" authorId="1" shapeId="0">
      <text>
        <r>
          <rPr>
            <sz val="9"/>
            <color indexed="81"/>
            <rFont val="Tahoma"/>
            <family val="2"/>
          </rPr>
          <t>250 initial + 3*105</t>
        </r>
      </text>
    </comment>
    <comment ref="J115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 insurance payment</t>
        </r>
      </text>
    </comment>
    <comment ref="J123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 insurance payment</t>
        </r>
      </text>
    </comment>
    <comment ref="N129" authorId="1" shapeId="0">
      <text>
        <r>
          <rPr>
            <b/>
            <sz val="9"/>
            <color indexed="81"/>
            <rFont val="Tahoma"/>
            <family val="2"/>
          </rPr>
          <t>Covered both 
8/10/12 and 11/1/12 bills</t>
        </r>
      </text>
    </comment>
    <comment ref="H130" authorId="1" shapeId="0">
      <text>
        <r>
          <rPr>
            <b/>
            <sz val="9"/>
            <color indexed="81"/>
            <rFont val="Tahoma"/>
            <family val="2"/>
          </rPr>
          <t>This bill seemed inconsistent with recent</t>
        </r>
      </text>
    </comment>
    <comment ref="K136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39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finance charge 9/25/13</t>
        </r>
      </text>
    </comment>
    <comment ref="J143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</t>
        </r>
      </text>
    </comment>
    <comment ref="J155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</t>
        </r>
      </text>
    </comment>
    <comment ref="J156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Check with delta dental… they only paid 142/2400 on the implant.
Refused the alveoloplasty due to code vs tooth #</t>
        </r>
      </text>
    </comment>
    <comment ref="M167" authorId="1" shapeId="0">
      <text>
        <r>
          <rPr>
            <b/>
            <sz val="9"/>
            <color indexed="81"/>
            <rFont val="Tahoma"/>
            <family val="2"/>
          </rPr>
          <t>Still in insurance loop, this is our likely cost</t>
        </r>
      </text>
    </comment>
    <comment ref="G173" authorId="2" shapeId="0">
      <text>
        <r>
          <rPr>
            <b/>
            <sz val="9"/>
            <color indexed="81"/>
            <rFont val="Tahoma"/>
            <family val="2"/>
          </rPr>
          <t>lost the original bill in the fire</t>
        </r>
      </text>
    </comment>
    <comment ref="J191" authorId="2" shapeId="0">
      <text>
        <r>
          <rPr>
            <b/>
            <sz val="9"/>
            <color indexed="81"/>
            <rFont val="Tahoma"/>
            <family val="2"/>
          </rPr>
          <t>RBR: $230 pending insurance</t>
        </r>
      </text>
    </comment>
  </commentList>
</comments>
</file>

<file path=xl/comments2.xml><?xml version="1.0" encoding="utf-8"?>
<comments xmlns="http://schemas.openxmlformats.org/spreadsheetml/2006/main">
  <authors>
    <author>rbrobert</author>
  </authors>
  <commentList>
    <comment ref="H54" authorId="0" shapeId="0">
      <text>
        <r>
          <rPr>
            <b/>
            <sz val="8"/>
            <color indexed="81"/>
            <rFont val="Tahoma"/>
            <family val="2"/>
          </rPr>
          <t>Balances with total from website  3/4/09</t>
        </r>
      </text>
    </comment>
    <comment ref="H56" authorId="0" shapeId="0">
      <text>
        <r>
          <rPr>
            <b/>
            <sz val="8"/>
            <color indexed="81"/>
            <rFont val="Tahoma"/>
            <family val="2"/>
          </rPr>
          <t>Matched website 1609.22</t>
        </r>
      </text>
    </comment>
    <comment ref="H60" authorId="0" shapeId="0">
      <text>
        <r>
          <rPr>
            <b/>
            <sz val="8"/>
            <color indexed="81"/>
            <rFont val="Tahoma"/>
            <family val="2"/>
          </rPr>
          <t>Expect 1690.52</t>
        </r>
      </text>
    </comment>
    <comment ref="H63" authorId="0" shapeId="0">
      <text>
        <r>
          <rPr>
            <b/>
            <sz val="8"/>
            <color indexed="81"/>
            <rFont val="Tahoma"/>
            <family val="2"/>
          </rPr>
          <t>Matches expected 1710.16</t>
        </r>
      </text>
    </comment>
  </commentList>
</comments>
</file>

<file path=xl/comments3.xml><?xml version="1.0" encoding="utf-8"?>
<comments xmlns="http://schemas.openxmlformats.org/spreadsheetml/2006/main">
  <authors>
    <author>rbrobert</author>
  </authors>
  <commentList>
    <comment ref="E23" authorId="0" shapeId="0">
      <text>
        <r>
          <rPr>
            <b/>
            <sz val="8"/>
            <color indexed="81"/>
            <rFont val="Tahoma"/>
            <family val="2"/>
          </rPr>
          <t>Missing Intel 10% discount</t>
        </r>
      </text>
    </comment>
    <comment ref="E26" authorId="0" shapeId="0">
      <text>
        <r>
          <rPr>
            <b/>
            <sz val="8"/>
            <color indexed="81"/>
            <rFont val="Tahoma"/>
            <family val="2"/>
          </rPr>
          <t>Adjusted for missed discount 1/26-1/30</t>
        </r>
      </text>
    </comment>
  </commentList>
</comments>
</file>

<file path=xl/comments4.xml><?xml version="1.0" encoding="utf-8"?>
<comments xmlns="http://schemas.openxmlformats.org/spreadsheetml/2006/main">
  <authors>
    <author>rbrobert</author>
  </authors>
  <commentList>
    <comment ref="B13" authorId="0" shapeId="0">
      <text>
        <r>
          <rPr>
            <sz val="8"/>
            <color indexed="81"/>
            <rFont val="Tahoma"/>
            <family val="2"/>
          </rPr>
          <t>Assumed $700, same as surrounding months</t>
        </r>
      </text>
    </comment>
    <comment ref="D18" authorId="0" shapeId="0">
      <text>
        <r>
          <rPr>
            <b/>
            <sz val="8"/>
            <color indexed="81"/>
            <rFont val="Tahoma"/>
            <family val="2"/>
          </rPr>
          <t xml:space="preserve">Submitted for Dona and Walter only
</t>
        </r>
      </text>
    </comment>
  </commentList>
</comments>
</file>

<file path=xl/sharedStrings.xml><?xml version="1.0" encoding="utf-8"?>
<sst xmlns="http://schemas.openxmlformats.org/spreadsheetml/2006/main" count="1409" uniqueCount="529">
  <si>
    <t>Medical Bills</t>
  </si>
  <si>
    <t>Who</t>
  </si>
  <si>
    <t>Banner Desert</t>
  </si>
  <si>
    <t>Bill Date</t>
  </si>
  <si>
    <t>Treatment Date</t>
  </si>
  <si>
    <t>Treatment</t>
  </si>
  <si>
    <t>total cost</t>
  </si>
  <si>
    <t>discounted cost</t>
  </si>
  <si>
    <t>status</t>
  </si>
  <si>
    <t>Adjustments</t>
  </si>
  <si>
    <t>?</t>
  </si>
  <si>
    <t>10/16-10/19/07</t>
  </si>
  <si>
    <t>Account</t>
  </si>
  <si>
    <t>payment date</t>
  </si>
  <si>
    <t>paid</t>
  </si>
  <si>
    <t>method</t>
  </si>
  <si>
    <t>online</t>
  </si>
  <si>
    <t>balance forward</t>
  </si>
  <si>
    <t>HSA</t>
  </si>
  <si>
    <t>source</t>
  </si>
  <si>
    <t>Balance</t>
  </si>
  <si>
    <t>Pediatrix-Obstetrix</t>
  </si>
  <si>
    <t>8/14, 8/17, 8/24, 8/28, 9/7/07</t>
  </si>
  <si>
    <t>Fetal non-stress tests &amp; Fetal Biophysical profile</t>
  </si>
  <si>
    <t>mail</t>
  </si>
  <si>
    <t>Anesthesia Resources</t>
  </si>
  <si>
    <t>259121-00</t>
  </si>
  <si>
    <t>C-section anesthesia</t>
  </si>
  <si>
    <t>HSA check 106</t>
  </si>
  <si>
    <t>Sonora Quest Laboratories</t>
  </si>
  <si>
    <t>Blood test (stat)</t>
  </si>
  <si>
    <t>HSA check 107</t>
  </si>
  <si>
    <t>For</t>
  </si>
  <si>
    <t>Roberta</t>
  </si>
  <si>
    <t>Gastrointestinal Associates</t>
  </si>
  <si>
    <t>Markus</t>
  </si>
  <si>
    <t>office visit</t>
  </si>
  <si>
    <t>Colonoscopy</t>
  </si>
  <si>
    <t>credit card</t>
  </si>
  <si>
    <t>Pap</t>
  </si>
  <si>
    <t>FCU Roberta</t>
  </si>
  <si>
    <t>OB profile</t>
  </si>
  <si>
    <t>FCU 1672</t>
  </si>
  <si>
    <t>SW Womens Care</t>
  </si>
  <si>
    <t>1238-50</t>
  </si>
  <si>
    <t>8/29, 9/4/07</t>
  </si>
  <si>
    <t>Ultrasound, Biophysical profile</t>
  </si>
  <si>
    <t>in person</t>
  </si>
  <si>
    <t>StepByStep Pediatrics</t>
  </si>
  <si>
    <t>Max/Dona</t>
  </si>
  <si>
    <t>5/1, 6/25 Max, 
7/16/07 Doña</t>
  </si>
  <si>
    <t>HSA check 108</t>
  </si>
  <si>
    <t>Walter</t>
  </si>
  <si>
    <t>10/22, 10/29/07</t>
  </si>
  <si>
    <t>New infant visit</t>
  </si>
  <si>
    <t>Miniclinic (CVS)</t>
  </si>
  <si>
    <t>Flu Shot</t>
  </si>
  <si>
    <t>Aetna</t>
  </si>
  <si>
    <t>Short Term Disability</t>
  </si>
  <si>
    <t>11/1-11/15</t>
  </si>
  <si>
    <t>10/16-10/31</t>
  </si>
  <si>
    <t>12/1-12/10</t>
  </si>
  <si>
    <t>Statclinix, PLC</t>
  </si>
  <si>
    <t>Doña</t>
  </si>
  <si>
    <t>7/14 &amp; 11/4</t>
  </si>
  <si>
    <t>7/14 ?, 11/4 elbow</t>
  </si>
  <si>
    <t>Desert Pediatric Hospitalists</t>
  </si>
  <si>
    <t>10/17-10/19/07</t>
  </si>
  <si>
    <t>newborn followup &amp; circumcision</t>
  </si>
  <si>
    <t>FCU 1757</t>
  </si>
  <si>
    <t>FCU 1758</t>
  </si>
  <si>
    <t>USAA card</t>
  </si>
  <si>
    <t>bounced</t>
  </si>
  <si>
    <t>AZ Perinatal Providers</t>
  </si>
  <si>
    <t>006207-00</t>
  </si>
  <si>
    <t>OB ultrasound</t>
  </si>
  <si>
    <t>no record of bc/bs adjustments</t>
  </si>
  <si>
    <t>FCU 1759</t>
  </si>
  <si>
    <t>54-2324005</t>
  </si>
  <si>
    <t>Elbow</t>
  </si>
  <si>
    <t>??</t>
  </si>
  <si>
    <t>FCU 1760</t>
  </si>
  <si>
    <t>Progressive Medical Associates</t>
  </si>
  <si>
    <t>464452-Q5500</t>
  </si>
  <si>
    <t>Roberta emergency room for blood pressure</t>
  </si>
  <si>
    <t>FCU 1763</t>
  </si>
  <si>
    <t>PHX903651392</t>
  </si>
  <si>
    <t>8/14, 8/21. 8/28, 10/15, 9/25</t>
  </si>
  <si>
    <t>Fetal bio, Echography,</t>
  </si>
  <si>
    <t>check overlap with previous payment</t>
  </si>
  <si>
    <t>Dependent Care &amp; Assistance program</t>
  </si>
  <si>
    <t xml:space="preserve">Deduction per paycheck:  </t>
  </si>
  <si>
    <t>Annual deduction</t>
  </si>
  <si>
    <t>Jan Triple R for Doña</t>
  </si>
  <si>
    <t>Child care expense</t>
  </si>
  <si>
    <t>Requested reimbursement</t>
  </si>
  <si>
    <t>Request date</t>
  </si>
  <si>
    <t>Status</t>
  </si>
  <si>
    <t>DCAP Balance</t>
  </si>
  <si>
    <t>Deduction activity</t>
  </si>
  <si>
    <t>Jan-MidFeb</t>
  </si>
  <si>
    <t>Reimbursement Activity</t>
  </si>
  <si>
    <t>Reimbursement date</t>
  </si>
  <si>
    <t>approved and direct deposited</t>
  </si>
  <si>
    <t>Payroll deductions</t>
  </si>
  <si>
    <t>HSA 109</t>
  </si>
  <si>
    <t>4th bill?</t>
  </si>
  <si>
    <t>Payment</t>
  </si>
  <si>
    <t>Payment date</t>
  </si>
  <si>
    <t>Invoice#</t>
  </si>
  <si>
    <t>Check #</t>
  </si>
  <si>
    <t>Stat Clinix</t>
  </si>
  <si>
    <t>Arizona Endoscopy Center  450/829.20</t>
  </si>
  <si>
    <t>Driftwood Chiropractic</t>
  </si>
  <si>
    <t>Chandler Regional Hospital</t>
  </si>
  <si>
    <t>Pathology Specialists, AZ</t>
  </si>
  <si>
    <t>card</t>
  </si>
  <si>
    <t>Premier EM Medical specialists</t>
  </si>
  <si>
    <t>challenged, lumenos had no recrd of it; They re-submitted, Lumenos denied patient - still no Lumenos record. Simplified Dona's name in system.  Paid since now in collections. 
Need to submit a manual claim for reimbursement</t>
  </si>
  <si>
    <t>Family Care Physicians</t>
  </si>
  <si>
    <t>Premier EM Medical specialists (Emergency Physician) Chandler Regional Hospital</t>
  </si>
  <si>
    <t>08252</t>
  </si>
  <si>
    <t>Blood pressure followup</t>
  </si>
  <si>
    <t>check</t>
  </si>
  <si>
    <t>FCU 1764</t>
  </si>
  <si>
    <t>overpaid?</t>
  </si>
  <si>
    <t>Driftwood Family Chiropractic</t>
  </si>
  <si>
    <t>Lumbosacral sprain, subluxation</t>
  </si>
  <si>
    <t>FCU 1780</t>
  </si>
  <si>
    <t>FCU 1778</t>
  </si>
  <si>
    <t>10/31/07, 12/11/07, 3/5/08</t>
  </si>
  <si>
    <t>2wk post partum office, Depoprovera</t>
  </si>
  <si>
    <t>Fcu Roberta</t>
  </si>
  <si>
    <t>Mountain Park Dentistry</t>
  </si>
  <si>
    <t>FCU #17?</t>
  </si>
  <si>
    <t>outpatient, measure blood o2</t>
  </si>
  <si>
    <t>Feb Triple R for Doña</t>
  </si>
  <si>
    <t>Mar Triple R for Doña</t>
  </si>
  <si>
    <t>April Triple R for Doña &amp; Walter</t>
  </si>
  <si>
    <t>EndFeb-MidJul</t>
  </si>
  <si>
    <t>Need to find statement</t>
  </si>
  <si>
    <t>Per paycheck &gt;</t>
  </si>
  <si>
    <t># paychcks</t>
  </si>
  <si>
    <t>May Triple R for Doña &amp; Walter</t>
  </si>
  <si>
    <t>HSA #110</t>
  </si>
  <si>
    <t>28100-50</t>
  </si>
  <si>
    <t>labial adhesion assessment</t>
  </si>
  <si>
    <t>HSA #111</t>
  </si>
  <si>
    <t>Depoprovera shot</t>
  </si>
  <si>
    <t>HSA #112</t>
  </si>
  <si>
    <t>Allergy &amp; Immunology</t>
  </si>
  <si>
    <t>029077-00</t>
  </si>
  <si>
    <t>Allergy</t>
  </si>
  <si>
    <t>HSA #113</t>
  </si>
  <si>
    <t>8/1 &amp; 8/15/08</t>
  </si>
  <si>
    <t>East Valley Diagnostics</t>
  </si>
  <si>
    <t>MRI of left knee</t>
  </si>
  <si>
    <t>HSA#115</t>
  </si>
  <si>
    <t>outpatient</t>
  </si>
  <si>
    <t>HSA#114</t>
  </si>
  <si>
    <t>9/1,9/15,10/1,10/15</t>
  </si>
  <si>
    <t>Hillsboro Pediatric Clinic</t>
  </si>
  <si>
    <t>?? Kindercare worry ??</t>
  </si>
  <si>
    <t>Maple St Clinic</t>
  </si>
  <si>
    <t>New patient, knee, BP</t>
  </si>
  <si>
    <t>Vertigo</t>
  </si>
  <si>
    <t>HSA 117</t>
  </si>
  <si>
    <t>HSA#116</t>
  </si>
  <si>
    <t>Maple Street Clinic</t>
  </si>
  <si>
    <t>8/15&amp;9/17/08</t>
  </si>
  <si>
    <t>8/11&amp;9/23/08</t>
  </si>
  <si>
    <t>Therapeutic Assoc</t>
  </si>
  <si>
    <t>84377A1487</t>
  </si>
  <si>
    <t>Knee assessment &amp; therapy</t>
  </si>
  <si>
    <t>HSA#118</t>
  </si>
  <si>
    <t>Geneva Health Center</t>
  </si>
  <si>
    <t>ROBDO001</t>
  </si>
  <si>
    <t>Conjunctivitis</t>
  </si>
  <si>
    <t>ROBRO003</t>
  </si>
  <si>
    <t>HSA#119</t>
  </si>
  <si>
    <t>Doña/Roberta</t>
  </si>
  <si>
    <t>10/2-10/11/08</t>
  </si>
  <si>
    <t>HSA#120</t>
  </si>
  <si>
    <t>Payroll &amp; Interest</t>
  </si>
  <si>
    <t>11/15,12/1/08</t>
  </si>
  <si>
    <t>EndJul-MidAug</t>
  </si>
  <si>
    <t>EndAug-Dec1</t>
  </si>
  <si>
    <t>Jan</t>
  </si>
  <si>
    <t>Kindercare</t>
  </si>
  <si>
    <t>Walter (toddler)</t>
  </si>
  <si>
    <t>Dona (Threes)</t>
  </si>
  <si>
    <t>Maxwell (Klubmates</t>
  </si>
  <si>
    <t>Other fees</t>
  </si>
  <si>
    <t>Discounts</t>
  </si>
  <si>
    <t>Total cost</t>
  </si>
  <si>
    <t>Total paid</t>
  </si>
  <si>
    <t>1 day</t>
  </si>
  <si>
    <t>Discount</t>
  </si>
  <si>
    <t>5 days</t>
  </si>
  <si>
    <t>Owed</t>
  </si>
  <si>
    <t>3 days</t>
  </si>
  <si>
    <t>Tptal</t>
  </si>
  <si>
    <t>Mid-End Dec</t>
  </si>
  <si>
    <t>Not DCAP reimbursed</t>
  </si>
  <si>
    <t>2008 Totals</t>
  </si>
  <si>
    <t>2009 data</t>
  </si>
  <si>
    <t>Aug-Dec KinderCare</t>
  </si>
  <si>
    <t>July-Aug Kindercare for Doña, Walter &amp; Max</t>
  </si>
  <si>
    <t>need 2H'08 statement - requested 2/2/09</t>
  </si>
  <si>
    <t>debit</t>
  </si>
  <si>
    <t>Medical refill at Target - M or Walgreens - R?</t>
  </si>
  <si>
    <t>Dec payroll/int</t>
  </si>
  <si>
    <t>Jan payroll/int</t>
  </si>
  <si>
    <t>Feb payroll/int</t>
  </si>
  <si>
    <t>Feb</t>
  </si>
  <si>
    <t>Mar</t>
  </si>
  <si>
    <t>1/26-1/30/09</t>
  </si>
  <si>
    <t>3days</t>
  </si>
  <si>
    <t>2/2-2/6/09</t>
  </si>
  <si>
    <t>2/9-2/13/09</t>
  </si>
  <si>
    <t>2/16-2/20/09</t>
  </si>
  <si>
    <t>2/23-2/27/09</t>
  </si>
  <si>
    <t>Feb '09 Kindercare for Doña (1/26/09-2/27/09)</t>
  </si>
  <si>
    <t>Submitted 12/2/08, paid</t>
  </si>
  <si>
    <t>Submitted 2/2/09, paid 2/9/09</t>
  </si>
  <si>
    <t>1/5-1/9/09</t>
  </si>
  <si>
    <t>1/12-1/16/09</t>
  </si>
  <si>
    <t>1/19-1/23/09</t>
  </si>
  <si>
    <t>1/26-2/27/09</t>
  </si>
  <si>
    <t>dcap</t>
  </si>
  <si>
    <t>12/22/08-1/2/09</t>
  </si>
  <si>
    <t>vacation</t>
  </si>
  <si>
    <t>Jan '09 Kindercare for Doña (1/1/09-1/23/09)</t>
  </si>
  <si>
    <t>Apr</t>
  </si>
  <si>
    <t>NTD Laboratories?</t>
  </si>
  <si>
    <t>Mar '09 Kindercare for Doña (3/01/09-3/15/09)</t>
  </si>
  <si>
    <t>Mar '09 Kindercare for Doña (3/16/09-3/28/09)</t>
  </si>
  <si>
    <t>10/10/08,10/22/08, 11/7/08,11/24/08</t>
  </si>
  <si>
    <t>Knee therapy</t>
  </si>
  <si>
    <t>March payroll/int</t>
  </si>
  <si>
    <t>April payroll/int</t>
  </si>
  <si>
    <t>May payroll/int</t>
  </si>
  <si>
    <t>BP follow up</t>
  </si>
  <si>
    <t>Symtrio Chiropractic</t>
  </si>
  <si>
    <t>Initial visit, neck &amp; shoulder spasm adjustment</t>
  </si>
  <si>
    <t>Followup neck</t>
  </si>
  <si>
    <t>HSA #124</t>
  </si>
  <si>
    <t>HSA #123</t>
  </si>
  <si>
    <t>HSA #121</t>
  </si>
  <si>
    <t>Weight Watchers 17wks</t>
  </si>
  <si>
    <t>Apr '09 Kindercare for Doña (3/30/09-4/17/09)</t>
  </si>
  <si>
    <t>June '09 Kindercare for Doña (6/1/09 - 6/19/09)</t>
  </si>
  <si>
    <t>Early May</t>
  </si>
  <si>
    <t>EndMay-EarlyJune</t>
  </si>
  <si>
    <t>EndJune-MidJuly</t>
  </si>
  <si>
    <t>Apr '09 Kindercare for Doña (4/20/09-5/1/09)</t>
  </si>
  <si>
    <t>EndAug-MidSept</t>
  </si>
  <si>
    <t>approved</t>
  </si>
  <si>
    <t>EndJuly</t>
  </si>
  <si>
    <t>MidAug</t>
  </si>
  <si>
    <t>May '09 Kindercare for Doña (5/4/09-5/15/09)</t>
  </si>
  <si>
    <t>May '09 Kindercare for Doña (5/18/09-5/29/09)</t>
  </si>
  <si>
    <t>Wks in DCAP</t>
  </si>
  <si>
    <t>June payroll/int</t>
  </si>
  <si>
    <t>July payroll/int</t>
  </si>
  <si>
    <t>Rx refill at walgreens</t>
  </si>
  <si>
    <t>2/27/09, 3/20/09, 5/15/09</t>
  </si>
  <si>
    <t>HSA #125a</t>
  </si>
  <si>
    <t>Finally mailled late July</t>
  </si>
  <si>
    <t>Insurance applied 6/25/09</t>
  </si>
  <si>
    <t>HSA #125b</t>
  </si>
  <si>
    <t>Insurance applied 6/02/09</t>
  </si>
  <si>
    <t>HSA #125c</t>
  </si>
  <si>
    <t>Insurance applied 6/16/09</t>
  </si>
  <si>
    <t>Symtrio Chiropractic  (Daniel Krueger)</t>
  </si>
  <si>
    <t>Pharmacy</t>
  </si>
  <si>
    <t>Followup massage</t>
  </si>
  <si>
    <t>Finally mailed late July</t>
  </si>
  <si>
    <t>Submitted</t>
  </si>
  <si>
    <t>EndSept-Midoct</t>
  </si>
  <si>
    <t>Sept '09 Kindercare for Doña (9/8/09 - 9/24/09)</t>
  </si>
  <si>
    <t>Pacific Univ Forest Grove Vision Center</t>
  </si>
  <si>
    <t>Vision</t>
  </si>
  <si>
    <t>Insurance paid</t>
  </si>
  <si>
    <t>Maxwell</t>
  </si>
  <si>
    <t>HSA card</t>
  </si>
  <si>
    <t>Check cough &amp; seasonal flu shot</t>
  </si>
  <si>
    <t>Dr. Nemchick</t>
  </si>
  <si>
    <t>Dentist checkup</t>
  </si>
  <si>
    <t>MidDec-EndDec</t>
  </si>
  <si>
    <t>Oct '09 Kindercare for Doña (9/25/09 - 10/30/09)</t>
  </si>
  <si>
    <t>EndOct-EndNov</t>
  </si>
  <si>
    <t>Nov '09 Kindercare for Doña (11/1/09-12/4/09)</t>
  </si>
  <si>
    <t>Dec '09 Kindercare for Doña (12/11/09-12/31/09</t>
  </si>
  <si>
    <t>2009 Totals</t>
  </si>
  <si>
    <t>10/30/2009 or 11/4/09</t>
  </si>
  <si>
    <t>Dentist - cavity</t>
  </si>
  <si>
    <t>1-631-435-0807;  From 8/8/07;  Says insurance company did not respond.  Bill clearly shows in Lumenos records.  Trying to charge me original $160, instead of discounted $56.   I# 620737.   I may have finally just paid it - not sure</t>
  </si>
  <si>
    <t>Tuality Community Hospital</t>
  </si>
  <si>
    <t>Blood draw</t>
  </si>
  <si>
    <t>Vaccination</t>
  </si>
  <si>
    <t>Depoprovera shot &amp; Medco refill</t>
  </si>
  <si>
    <t>Dentist</t>
  </si>
  <si>
    <t>Ear infection</t>
  </si>
  <si>
    <t>11/22/08 followup</t>
  </si>
  <si>
    <t>Knee therapy - Insurance takeback</t>
  </si>
  <si>
    <t>-36.72 +36.72</t>
  </si>
  <si>
    <t>HSA #129</t>
  </si>
  <si>
    <t>HSA #128</t>
  </si>
  <si>
    <t>ROBMA004</t>
  </si>
  <si>
    <t>HSA #130</t>
  </si>
  <si>
    <t>Dentist - resin</t>
  </si>
  <si>
    <t>Childrens Program</t>
  </si>
  <si>
    <t>Feb-Apr 2010</t>
  </si>
  <si>
    <t>ADHD Group</t>
  </si>
  <si>
    <t>HSA #131</t>
  </si>
  <si>
    <t>pending mail</t>
  </si>
  <si>
    <t>Ear infection &amp; Depo shot</t>
  </si>
  <si>
    <t>hearing &amp; BP followup</t>
  </si>
  <si>
    <t>Lungs &amp; Depo shot</t>
  </si>
  <si>
    <t>HSA #127</t>
  </si>
  <si>
    <t>na</t>
  </si>
  <si>
    <t>Lungs</t>
  </si>
  <si>
    <t>HSA card, 591.01 total</t>
  </si>
  <si>
    <t>3/11($5),(49.47:4/1,4/8,4/15/10)</t>
  </si>
  <si>
    <t>x6/18/2010
9/30/2010</t>
  </si>
  <si>
    <t>x_mail,
mail</t>
  </si>
  <si>
    <t>x_paid,
paid</t>
  </si>
  <si>
    <t>Depo shot</t>
  </si>
  <si>
    <t>HSA confirmed payment when I talked to them 9/30/10</t>
  </si>
  <si>
    <t>Insurance submitted 10/30/09, finally came through 5/24/10
Maple St thinks it isn't paid 9/3/10 -- Checked HSA card records on 9/30/10 and no payment made. Anthem website is revamped and non-functional for me</t>
  </si>
  <si>
    <t>Dentist -root canal</t>
  </si>
  <si>
    <t>HSA #134</t>
  </si>
  <si>
    <t>x_HSA card,
HSA check#132</t>
  </si>
  <si>
    <t>HSA check #133</t>
  </si>
  <si>
    <t>Jan-Mar '10 Kindercare for Doña (1/1/10-3/19/10)</t>
  </si>
  <si>
    <t>Max checkup, weight, flu shot</t>
  </si>
  <si>
    <t>HSA check #135</t>
  </si>
  <si>
    <t>HSA check #136</t>
  </si>
  <si>
    <t>HSA #137</t>
  </si>
  <si>
    <t>Bronchitis</t>
  </si>
  <si>
    <t>HSA #141</t>
  </si>
  <si>
    <t>HSA check #140</t>
  </si>
  <si>
    <t>A Brilliant Nanny (placement</t>
  </si>
  <si>
    <t>Leah Brown (12/11/10 to 12/17/10</t>
  </si>
  <si>
    <t>Leah Brown (11/13/10 to 11/19/10)</t>
  </si>
  <si>
    <t>Leah 12/6/10 to 12/9/10</t>
  </si>
  <si>
    <t>Leah 11/29/10 to 12/3/10</t>
  </si>
  <si>
    <t>Persistent cold/cough</t>
  </si>
  <si>
    <t>HSA #142</t>
  </si>
  <si>
    <t>2/15/11, 2/22/11 &amp; 3/29/11</t>
  </si>
  <si>
    <t>221348-3</t>
  </si>
  <si>
    <t>Allergy, Asthma &amp; Dermatology Associates (Allergy Associates)</t>
  </si>
  <si>
    <t>HSA #143 (1300)
1st tech#1180 (66.84)</t>
  </si>
  <si>
    <t>3/14/11 &amp; 4/4/11</t>
  </si>
  <si>
    <t>Depo Shot &amp; BP Rx refill</t>
  </si>
  <si>
    <t>1st tech#1181</t>
  </si>
  <si>
    <t>cleaning &amp; xray</t>
  </si>
  <si>
    <t>cleaning</t>
  </si>
  <si>
    <t>R+D+M</t>
  </si>
  <si>
    <t>HSA #144</t>
  </si>
  <si>
    <t>Rx</t>
  </si>
  <si>
    <t>HSA #145</t>
  </si>
  <si>
    <t>Gary MacKendrick</t>
  </si>
  <si>
    <t>councelling</t>
  </si>
  <si>
    <t>Service charge</t>
  </si>
  <si>
    <t>5/18,5/26,6/2, 6/8/11</t>
  </si>
  <si>
    <t>missed appt &amp; school conf</t>
  </si>
  <si>
    <t>check in person</t>
  </si>
  <si>
    <t>6/29,7/9,7/16,7/23,7/30/11</t>
  </si>
  <si>
    <t>5/4??</t>
  </si>
  <si>
    <t>was this a Gary appt?</t>
  </si>
  <si>
    <t>Gary</t>
  </si>
  <si>
    <t>Appt date</t>
  </si>
  <si>
    <t>Charges</t>
  </si>
  <si>
    <t>Our payments</t>
  </si>
  <si>
    <t>5/18/11 initial</t>
  </si>
  <si>
    <t>6/23/11 ? school appt</t>
  </si>
  <si>
    <t>6/15/11 missed</t>
  </si>
  <si>
    <t>Total</t>
  </si>
  <si>
    <t>Insurance Payments</t>
  </si>
  <si>
    <t>5/26,6/2, 6/8/11 ($105*3)</t>
  </si>
  <si>
    <t>6/29,7/9,7/16,7/23,7/30 ($105*5)</t>
  </si>
  <si>
    <t>deductible (EAP?)</t>
  </si>
  <si>
    <t>Service charge (2%)</t>
  </si>
  <si>
    <t>check Chase</t>
  </si>
  <si>
    <t>same as above</t>
  </si>
  <si>
    <t>Gary MacKendrick??</t>
  </si>
  <si>
    <t>Gary Mackendrick</t>
  </si>
  <si>
    <t>Tuality Healthcare</t>
  </si>
  <si>
    <t>Chest Xray</t>
  </si>
  <si>
    <t>our cost</t>
  </si>
  <si>
    <t>our payments</t>
  </si>
  <si>
    <t>Ear infection and flu mist</t>
  </si>
  <si>
    <t>Pneumonia &amp; ear infection + flu mist</t>
  </si>
  <si>
    <t>Tuality</t>
  </si>
  <si>
    <t>Hillsboro Pediatric</t>
  </si>
  <si>
    <t>8/19/11 &amp; 9/2/11</t>
  </si>
  <si>
    <t>Persistent cough &amp; allergy test</t>
  </si>
  <si>
    <t>HSA #149</t>
  </si>
  <si>
    <t>HSA #148</t>
  </si>
  <si>
    <t>HSA #147</t>
  </si>
  <si>
    <t>HSA #146</t>
  </si>
  <si>
    <t>done</t>
  </si>
  <si>
    <t>x</t>
  </si>
  <si>
    <t>Paper statement fees (sep,oct,nov)</t>
  </si>
  <si>
    <t>Medco Rx</t>
  </si>
  <si>
    <t>Asthma, Allergy &amp; Derm associates</t>
  </si>
  <si>
    <t>balance</t>
  </si>
  <si>
    <t>Nov payroll/int - mid</t>
  </si>
  <si>
    <t>Cleaning</t>
  </si>
  <si>
    <t>Cleaning, Flouride</t>
  </si>
  <si>
    <t>Cleaning, Xray, Flouride</t>
  </si>
  <si>
    <t>Resn composite cavity</t>
  </si>
  <si>
    <t>HSA #150</t>
  </si>
  <si>
    <t>9/23/2011 &amp; 11/18/2011</t>
  </si>
  <si>
    <t>Depo shot, 
Annual checkup</t>
  </si>
  <si>
    <t>Blood test</t>
  </si>
  <si>
    <t>HSA #151</t>
  </si>
  <si>
    <t>HSA #152</t>
  </si>
  <si>
    <t>Possible deduction rates</t>
  </si>
  <si>
    <t>2008,2009</t>
  </si>
  <si>
    <t>2010,2011</t>
  </si>
  <si>
    <t>3/2/12 &amp; 3/20/12</t>
  </si>
  <si>
    <t>Depo</t>
  </si>
  <si>
    <t>Pap + Depo</t>
  </si>
  <si>
    <t>NextCare</t>
  </si>
  <si>
    <t>HSA #153?</t>
  </si>
  <si>
    <t>HSA #154?</t>
  </si>
  <si>
    <t>Depo + Flu shot</t>
  </si>
  <si>
    <t>Sealant - 3 teeth</t>
  </si>
  <si>
    <t>missing</t>
  </si>
  <si>
    <t>Cough/breathing</t>
  </si>
  <si>
    <t>paid?</t>
  </si>
  <si>
    <t>WCPL West Coast Pathology Laboratories</t>
  </si>
  <si>
    <t>Pap+HPV test</t>
  </si>
  <si>
    <t>WCC-13-40819</t>
  </si>
  <si>
    <t>forwarded endorsed bcbs check</t>
  </si>
  <si>
    <t>cavity fill</t>
  </si>
  <si>
    <t>crown, fill</t>
  </si>
  <si>
    <t>Melvin Matsuda DDS</t>
  </si>
  <si>
    <t>Surgical implant</t>
  </si>
  <si>
    <t>partial pay</t>
  </si>
  <si>
    <t>Sealant - 4 teeth</t>
  </si>
  <si>
    <t>old bill filling in history (paid?)</t>
  </si>
  <si>
    <t>check angled tooth</t>
  </si>
  <si>
    <t>tooth 18 restoration</t>
  </si>
  <si>
    <t>cleaning &amp; 3 teath sealed (18,30,31)</t>
  </si>
  <si>
    <t>root canal</t>
  </si>
  <si>
    <t xml:space="preserve">t14 film, protective restoration  t29, t19 dent, </t>
  </si>
  <si>
    <t>Amal 3 surf t2</t>
  </si>
  <si>
    <t>Crown 18+20, support 19</t>
  </si>
  <si>
    <t>HSA check 157</t>
  </si>
  <si>
    <t>Chase check 5244</t>
  </si>
  <si>
    <t>**</t>
  </si>
  <si>
    <t>payment</t>
  </si>
  <si>
    <t>a</t>
  </si>
  <si>
    <t>Quest Diagnostics</t>
  </si>
  <si>
    <t>Lab work</t>
  </si>
  <si>
    <t>10003059515</t>
  </si>
  <si>
    <t>4/1-8-15-22-29/15,
5/6-13-20-27/15,
6/3-10-18-24/15</t>
  </si>
  <si>
    <t>Injection</t>
  </si>
  <si>
    <t>web</t>
  </si>
  <si>
    <t>David Kao, MD</t>
  </si>
  <si>
    <t>Basal Cell carcinoma removal</t>
  </si>
  <si>
    <t>Markus?</t>
  </si>
  <si>
    <t>???</t>
  </si>
  <si>
    <t>???    Fidelity collection service contacting about a balance since 2008…</t>
  </si>
  <si>
    <t>CTA Lab (Curtis Thompson MD &amp; Assoc)</t>
  </si>
  <si>
    <t>Skin pathology test</t>
  </si>
  <si>
    <t>SR15-0000014</t>
  </si>
  <si>
    <t>&lt;9/8/2015</t>
  </si>
  <si>
    <t>Sprained ankle &amp; split</t>
  </si>
  <si>
    <t>6/18+6/24+7/1+7/8+7/15+7/29+8/26</t>
  </si>
  <si>
    <t>Markus &amp; Walter</t>
  </si>
  <si>
    <t>7/15 and 7/24/15</t>
  </si>
  <si>
    <t>by mail</t>
  </si>
  <si>
    <t>Hillsboro Eye Clinic</t>
  </si>
  <si>
    <t>Smoke damage to eyes</t>
  </si>
  <si>
    <t>Smoke irritation</t>
  </si>
  <si>
    <t>They returned payment marked as declined.  Called 10/19/2015, paid with same card over phone.  Confirmation #019982</t>
  </si>
  <si>
    <t>Reed Dermatology NW</t>
  </si>
  <si>
    <t>Biopsy of Skin cancer on nose</t>
  </si>
  <si>
    <t>9/16/2015;
10/19/2015</t>
  </si>
  <si>
    <t>Notes</t>
  </si>
  <si>
    <t>ER for smoke inhalation (Xray, flush eyes)</t>
  </si>
  <si>
    <t>10003977047</t>
  </si>
  <si>
    <t>ER for smoke inhalation (Xray)</t>
  </si>
  <si>
    <t>10003977039</t>
  </si>
  <si>
    <t>NEP Tuality Community (Loren French MD)</t>
  </si>
  <si>
    <t>ER - physician services</t>
  </si>
  <si>
    <t>56920713-511-5903</t>
  </si>
  <si>
    <t>Markus phone debit card??</t>
  </si>
  <si>
    <t>Ankle?</t>
  </si>
  <si>
    <t>10003598546</t>
  </si>
  <si>
    <t>mail,
Phone</t>
  </si>
  <si>
    <t>Max and Dona</t>
  </si>
  <si>
    <t>Check after fire</t>
  </si>
  <si>
    <t>Dona's 7/13 appt already included in previous bill paid 10/9</t>
  </si>
  <si>
    <t>8/29/2015, 
9/1/15</t>
  </si>
  <si>
    <t>Dr. Brian Kelly</t>
  </si>
  <si>
    <t>Pulmonary assessment after smoke inhalation</t>
  </si>
  <si>
    <t>022937-00</t>
  </si>
  <si>
    <t>Jessica Richardson Audiologist</t>
  </si>
  <si>
    <t>Comprehensive hearing tests</t>
  </si>
  <si>
    <t>Smoke damage followup</t>
  </si>
  <si>
    <t>Metro West Ambulance</t>
  </si>
  <si>
    <t>Ambulance</t>
  </si>
  <si>
    <t>Run: 15-176903</t>
  </si>
  <si>
    <t>Run: 15-176918</t>
  </si>
  <si>
    <t>phone</t>
  </si>
  <si>
    <t>56920712-511-5903</t>
  </si>
  <si>
    <t>other</t>
  </si>
  <si>
    <t>Pending payments that have been submitted</t>
  </si>
  <si>
    <t>10/1/15 &amp; 10/8/15</t>
  </si>
  <si>
    <t>Methacholine challenge test &amp; dr follow up</t>
  </si>
  <si>
    <t>Pulmonary function for Methacholine challenge test</t>
  </si>
  <si>
    <t>7/22+8/26+9/2+9/9+9/16+9/23+9/30+10/7+10/14+10/21</t>
  </si>
  <si>
    <t>HSA cleared</t>
  </si>
  <si>
    <t>Pending payments that have been mailed</t>
  </si>
  <si>
    <t>10/12 + 10/15 + 10/21/15</t>
  </si>
  <si>
    <t>3 Massage &amp; 3 Manipulation, tight back, then spasm from fire salvage</t>
  </si>
  <si>
    <t>call</t>
  </si>
  <si>
    <t>processing</t>
  </si>
  <si>
    <t>Dona, Max, Roberta</t>
  </si>
  <si>
    <t>cleanings</t>
  </si>
  <si>
    <t>surface resin composite</t>
  </si>
  <si>
    <t>x78.8</t>
  </si>
  <si>
    <t>Forgot to mail 12/31/15. Sent in 2/14 payment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</si>
</sst>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Times New Roman"/>
      <family val="1"/>
    </font>
    <font>
      <sz val="10"/>
      <color rgb="FF9C65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0" fillId="10" borderId="0" applyNumberFormat="0" applyBorder="0" applyAlignment="0" applyProtection="0"/>
    <xf numFmtId="9" fontId="1" fillId="0" borderId="0" applyFont="0" applyFill="0" applyBorder="0" applyAlignment="0" applyProtection="0"/>
  </cellStyleXfs>
  <cellXfs count="136">
    <xf numFmtId="0" fontId="0" fillId="0" borderId="0" xfId="0"/>
    <xf numFmtId="14" fontId="0" fillId="0" borderId="0" xfId="0" applyNumberFormat="1"/>
    <xf numFmtId="0" fontId="0" fillId="0" borderId="0" xfId="0" applyNumberFormat="1"/>
    <xf numFmtId="4" fontId="0" fillId="0" borderId="0" xfId="0" applyNumberFormat="1"/>
    <xf numFmtId="0" fontId="0" fillId="2" borderId="0" xfId="0" applyNumberFormat="1" applyFill="1"/>
    <xf numFmtId="0" fontId="0" fillId="3" borderId="0" xfId="0" applyNumberFormat="1" applyFill="1"/>
    <xf numFmtId="0" fontId="0" fillId="4" borderId="0" xfId="0" applyNumberFormat="1" applyFill="1"/>
    <xf numFmtId="0" fontId="0" fillId="5" borderId="0" xfId="0" applyNumberFormat="1" applyFill="1"/>
    <xf numFmtId="44" fontId="0" fillId="0" borderId="0" xfId="1" applyFont="1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4" fontId="0" fillId="0" borderId="0" xfId="0" applyNumberFormat="1" applyAlignment="1">
      <alignment vertical="top"/>
    </xf>
    <xf numFmtId="0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14" fontId="0" fillId="0" borderId="0" xfId="0" applyNumberFormat="1" applyAlignment="1">
      <alignment vertical="top" wrapText="1"/>
    </xf>
    <xf numFmtId="0" fontId="0" fillId="3" borderId="0" xfId="0" applyNumberFormat="1" applyFill="1" applyAlignment="1">
      <alignment vertical="top"/>
    </xf>
    <xf numFmtId="0" fontId="0" fillId="2" borderId="0" xfId="0" applyNumberFormat="1" applyFill="1" applyAlignment="1">
      <alignment vertical="top"/>
    </xf>
    <xf numFmtId="0" fontId="0" fillId="4" borderId="0" xfId="0" applyNumberFormat="1" applyFill="1" applyAlignment="1">
      <alignment vertical="top"/>
    </xf>
    <xf numFmtId="0" fontId="0" fillId="5" borderId="0" xfId="0" applyNumberFormat="1" applyFill="1" applyAlignment="1">
      <alignment vertical="top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14" fontId="0" fillId="0" borderId="0" xfId="0" applyNumberFormat="1" applyFill="1" applyAlignment="1">
      <alignment vertical="top"/>
    </xf>
    <xf numFmtId="0" fontId="0" fillId="0" borderId="0" xfId="0" applyNumberFormat="1" applyFill="1" applyAlignment="1">
      <alignment vertical="top"/>
    </xf>
    <xf numFmtId="4" fontId="0" fillId="0" borderId="0" xfId="0" applyNumberFormat="1" applyFill="1" applyAlignment="1">
      <alignment vertical="top" wrapText="1"/>
    </xf>
    <xf numFmtId="4" fontId="0" fillId="0" borderId="0" xfId="0" applyNumberFormat="1" applyFill="1" applyAlignment="1">
      <alignment vertical="top"/>
    </xf>
    <xf numFmtId="0" fontId="0" fillId="6" borderId="0" xfId="0" applyFill="1" applyAlignment="1">
      <alignment vertical="top" wrapText="1"/>
    </xf>
    <xf numFmtId="0" fontId="0" fillId="6" borderId="0" xfId="0" applyFill="1" applyAlignment="1">
      <alignment vertical="top"/>
    </xf>
    <xf numFmtId="14" fontId="0" fillId="6" borderId="0" xfId="0" applyNumberFormat="1" applyFill="1" applyAlignment="1">
      <alignment vertical="top"/>
    </xf>
    <xf numFmtId="0" fontId="0" fillId="6" borderId="0" xfId="0" applyNumberFormat="1" applyFill="1" applyAlignment="1">
      <alignment vertical="top"/>
    </xf>
    <xf numFmtId="0" fontId="0" fillId="6" borderId="0" xfId="0" applyNumberFormat="1" applyFill="1" applyAlignment="1">
      <alignment vertical="top" wrapText="1"/>
    </xf>
    <xf numFmtId="4" fontId="0" fillId="6" borderId="0" xfId="0" applyNumberFormat="1" applyFill="1" applyAlignment="1">
      <alignment vertical="top"/>
    </xf>
    <xf numFmtId="0" fontId="0" fillId="7" borderId="0" xfId="0" applyFill="1" applyAlignment="1">
      <alignment vertical="top"/>
    </xf>
    <xf numFmtId="0" fontId="0" fillId="0" borderId="0" xfId="0" applyAlignment="1">
      <alignment wrapText="1"/>
    </xf>
    <xf numFmtId="3" fontId="0" fillId="0" borderId="0" xfId="0" applyNumberFormat="1" applyAlignment="1">
      <alignment vertical="top"/>
    </xf>
    <xf numFmtId="2" fontId="0" fillId="0" borderId="0" xfId="0" applyNumberFormat="1"/>
    <xf numFmtId="0" fontId="0" fillId="0" borderId="0" xfId="0" quotePrefix="1" applyNumberFormat="1" applyAlignment="1">
      <alignment vertical="top"/>
    </xf>
    <xf numFmtId="2" fontId="0" fillId="0" borderId="0" xfId="0" applyNumberFormat="1" applyAlignment="1">
      <alignment vertical="top"/>
    </xf>
    <xf numFmtId="2" fontId="0" fillId="0" borderId="0" xfId="0" applyNumberFormat="1" applyAlignment="1">
      <alignment vertical="top" wrapText="1"/>
    </xf>
    <xf numFmtId="2" fontId="0" fillId="0" borderId="0" xfId="0" applyNumberFormat="1" applyFill="1" applyAlignment="1">
      <alignment vertical="top"/>
    </xf>
    <xf numFmtId="2" fontId="0" fillId="6" borderId="0" xfId="0" applyNumberFormat="1" applyFill="1" applyAlignment="1">
      <alignment vertical="top"/>
    </xf>
    <xf numFmtId="2" fontId="0" fillId="0" borderId="0" xfId="3" applyNumberFormat="1" applyFont="1" applyAlignment="1">
      <alignment vertical="top"/>
    </xf>
    <xf numFmtId="4" fontId="0" fillId="3" borderId="0" xfId="0" applyNumberFormat="1" applyFill="1" applyAlignment="1">
      <alignment vertical="top"/>
    </xf>
    <xf numFmtId="4" fontId="0" fillId="7" borderId="0" xfId="0" applyNumberFormat="1" applyFill="1" applyAlignment="1">
      <alignment vertical="top"/>
    </xf>
    <xf numFmtId="0" fontId="0" fillId="0" borderId="0" xfId="0" applyFill="1"/>
    <xf numFmtId="14" fontId="0" fillId="0" borderId="0" xfId="0" applyNumberFormat="1" applyFill="1"/>
    <xf numFmtId="2" fontId="0" fillId="0" borderId="0" xfId="0" applyNumberFormat="1" applyAlignment="1">
      <alignment wrapText="1"/>
    </xf>
    <xf numFmtId="0" fontId="0" fillId="8" borderId="0" xfId="0" applyFill="1"/>
    <xf numFmtId="0" fontId="0" fillId="3" borderId="0" xfId="0" applyFill="1"/>
    <xf numFmtId="0" fontId="5" fillId="0" borderId="0" xfId="0" applyFont="1"/>
    <xf numFmtId="0" fontId="0" fillId="0" borderId="0" xfId="0" applyAlignment="1">
      <alignment vertical="top" wrapText="1" shrinkToFit="1"/>
    </xf>
    <xf numFmtId="4" fontId="0" fillId="2" borderId="0" xfId="0" applyNumberFormat="1" applyFill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164" fontId="0" fillId="0" borderId="0" xfId="0" applyNumberFormat="1"/>
    <xf numFmtId="14" fontId="0" fillId="0" borderId="0" xfId="0" applyNumberFormat="1" applyAlignment="1">
      <alignment vertical="top" wrapText="1" shrinkToFit="1"/>
    </xf>
    <xf numFmtId="2" fontId="5" fillId="0" borderId="0" xfId="0" applyNumberFormat="1" applyFont="1"/>
    <xf numFmtId="4" fontId="5" fillId="0" borderId="0" xfId="0" applyNumberFormat="1" applyFont="1"/>
    <xf numFmtId="4" fontId="0" fillId="7" borderId="0" xfId="0" applyNumberFormat="1" applyFill="1" applyAlignment="1">
      <alignment horizontal="center" vertical="top"/>
    </xf>
    <xf numFmtId="14" fontId="0" fillId="0" borderId="0" xfId="0" applyNumberFormat="1" applyAlignment="1">
      <alignment horizontal="center" vertical="top"/>
    </xf>
    <xf numFmtId="4" fontId="0" fillId="9" borderId="0" xfId="0" applyNumberFormat="1" applyFill="1" applyAlignment="1">
      <alignment vertical="top"/>
    </xf>
    <xf numFmtId="4" fontId="0" fillId="9" borderId="0" xfId="0" quotePrefix="1" applyNumberFormat="1" applyFill="1" applyAlignment="1">
      <alignment vertical="top"/>
    </xf>
    <xf numFmtId="14" fontId="0" fillId="0" borderId="0" xfId="0" applyNumberFormat="1" applyAlignment="1">
      <alignment horizontal="left" vertical="top"/>
    </xf>
    <xf numFmtId="14" fontId="0" fillId="0" borderId="0" xfId="0" applyNumberFormat="1" applyAlignment="1">
      <alignment horizontal="left" vertical="top" wrapText="1"/>
    </xf>
    <xf numFmtId="4" fontId="0" fillId="0" borderId="0" xfId="0" applyNumberFormat="1" applyFill="1" applyBorder="1" applyAlignment="1">
      <alignment horizontal="center" vertical="top"/>
    </xf>
    <xf numFmtId="14" fontId="0" fillId="7" borderId="0" xfId="0" applyNumberFormat="1" applyFill="1" applyAlignment="1">
      <alignment horizontal="center" vertical="top" wrapText="1"/>
    </xf>
    <xf numFmtId="0" fontId="0" fillId="7" borderId="0" xfId="0" applyFill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4" fontId="6" fillId="0" borderId="0" xfId="0" applyNumberFormat="1" applyFont="1" applyAlignment="1">
      <alignment horizontal="left" vertical="top"/>
    </xf>
    <xf numFmtId="14" fontId="6" fillId="0" borderId="0" xfId="0" applyNumberFormat="1" applyFont="1" applyAlignment="1">
      <alignment vertical="top"/>
    </xf>
    <xf numFmtId="0" fontId="6" fillId="0" borderId="0" xfId="0" applyNumberFormat="1" applyFont="1" applyAlignment="1">
      <alignment vertical="top"/>
    </xf>
    <xf numFmtId="4" fontId="0" fillId="11" borderId="0" xfId="0" applyNumberFormat="1" applyFill="1" applyAlignment="1">
      <alignment vertical="top"/>
    </xf>
    <xf numFmtId="0" fontId="6" fillId="0" borderId="0" xfId="0" applyFont="1"/>
    <xf numFmtId="0" fontId="9" fillId="0" borderId="1" xfId="0" applyFont="1" applyBorder="1" applyAlignment="1">
      <alignment vertical="top" wrapText="1"/>
    </xf>
    <xf numFmtId="44" fontId="9" fillId="0" borderId="1" xfId="1" applyNumberFormat="1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6" fontId="9" fillId="0" borderId="1" xfId="0" applyNumberFormat="1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44" fontId="9" fillId="0" borderId="2" xfId="1" applyNumberFormat="1" applyFont="1" applyBorder="1" applyAlignment="1">
      <alignment vertical="top" wrapText="1"/>
    </xf>
    <xf numFmtId="6" fontId="9" fillId="0" borderId="2" xfId="0" applyNumberFormat="1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44" fontId="9" fillId="0" borderId="4" xfId="1" applyNumberFormat="1" applyFont="1" applyBorder="1" applyAlignment="1">
      <alignment vertical="top" wrapText="1"/>
    </xf>
    <xf numFmtId="14" fontId="6" fillId="0" borderId="0" xfId="0" applyNumberFormat="1" applyFont="1"/>
    <xf numFmtId="4" fontId="10" fillId="10" borderId="0" xfId="2" applyNumberFormat="1" applyAlignment="1">
      <alignment vertical="top"/>
    </xf>
    <xf numFmtId="3" fontId="0" fillId="0" borderId="0" xfId="0" quotePrefix="1" applyNumberFormat="1"/>
    <xf numFmtId="0" fontId="0" fillId="0" borderId="0" xfId="0" quotePrefix="1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14" fontId="1" fillId="0" borderId="0" xfId="0" applyNumberFormat="1" applyFont="1" applyAlignment="1">
      <alignment vertical="top"/>
    </xf>
    <xf numFmtId="14" fontId="1" fillId="0" borderId="0" xfId="0" applyNumberFormat="1" applyFont="1" applyAlignment="1">
      <alignment horizontal="left" vertical="top"/>
    </xf>
    <xf numFmtId="2" fontId="0" fillId="11" borderId="0" xfId="0" applyNumberFormat="1" applyFill="1"/>
    <xf numFmtId="14" fontId="0" fillId="11" borderId="0" xfId="0" applyNumberFormat="1" applyFill="1" applyAlignment="1">
      <alignment vertical="top"/>
    </xf>
    <xf numFmtId="0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/>
    </xf>
    <xf numFmtId="4" fontId="1" fillId="11" borderId="0" xfId="0" applyNumberFormat="1" applyFont="1" applyFill="1" applyAlignment="1">
      <alignment vertical="top"/>
    </xf>
    <xf numFmtId="4" fontId="1" fillId="12" borderId="0" xfId="0" applyNumberFormat="1" applyFont="1" applyFill="1" applyAlignment="1">
      <alignment vertical="top"/>
    </xf>
    <xf numFmtId="4" fontId="5" fillId="0" borderId="0" xfId="0" applyNumberFormat="1" applyFont="1" applyAlignment="1">
      <alignment vertical="top"/>
    </xf>
    <xf numFmtId="4" fontId="0" fillId="13" borderId="2" xfId="0" applyNumberFormat="1" applyFill="1" applyBorder="1" applyAlignment="1">
      <alignment vertical="top"/>
    </xf>
    <xf numFmtId="4" fontId="0" fillId="13" borderId="5" xfId="0" applyNumberFormat="1" applyFill="1" applyBorder="1" applyAlignment="1">
      <alignment vertical="top"/>
    </xf>
    <xf numFmtId="4" fontId="0" fillId="14" borderId="0" xfId="0" applyNumberFormat="1" applyFill="1" applyAlignment="1">
      <alignment vertical="top"/>
    </xf>
    <xf numFmtId="2" fontId="0" fillId="14" borderId="0" xfId="0" applyNumberFormat="1" applyFill="1" applyAlignment="1">
      <alignment vertical="top"/>
    </xf>
    <xf numFmtId="4" fontId="5" fillId="14" borderId="0" xfId="0" applyNumberFormat="1" applyFont="1" applyFill="1" applyAlignment="1">
      <alignment vertical="top"/>
    </xf>
    <xf numFmtId="0" fontId="1" fillId="0" borderId="0" xfId="0" quotePrefix="1" applyNumberFormat="1" applyFont="1" applyAlignment="1">
      <alignment vertical="top"/>
    </xf>
    <xf numFmtId="0" fontId="0" fillId="0" borderId="0" xfId="0" quotePrefix="1" applyAlignment="1">
      <alignment vertical="top"/>
    </xf>
    <xf numFmtId="14" fontId="1" fillId="0" borderId="0" xfId="0" applyNumberFormat="1" applyFont="1" applyAlignment="1">
      <alignment vertical="top" wrapText="1"/>
    </xf>
    <xf numFmtId="14" fontId="1" fillId="0" borderId="0" xfId="0" applyNumberFormat="1" applyFont="1" applyAlignment="1">
      <alignment horizontal="left" vertical="top" wrapText="1"/>
    </xf>
    <xf numFmtId="8" fontId="0" fillId="0" borderId="0" xfId="0" applyNumberFormat="1"/>
    <xf numFmtId="14" fontId="1" fillId="0" borderId="0" xfId="0" applyNumberFormat="1" applyFont="1" applyAlignment="1">
      <alignment horizontal="center" vertical="top" wrapText="1"/>
    </xf>
    <xf numFmtId="14" fontId="0" fillId="0" borderId="0" xfId="0" applyNumberFormat="1" applyAlignment="1">
      <alignment horizontal="center" vertical="top"/>
    </xf>
    <xf numFmtId="4" fontId="0" fillId="0" borderId="0" xfId="0" applyNumberFormat="1" applyAlignment="1">
      <alignment horizontal="center" vertical="top"/>
    </xf>
    <xf numFmtId="4" fontId="0" fillId="0" borderId="2" xfId="0" applyNumberFormat="1" applyBorder="1" applyAlignment="1">
      <alignment horizontal="center" vertical="top"/>
    </xf>
    <xf numFmtId="4" fontId="0" fillId="0" borderId="6" xfId="0" applyNumberFormat="1" applyBorder="1" applyAlignment="1">
      <alignment horizontal="center" vertical="top"/>
    </xf>
    <xf numFmtId="4" fontId="0" fillId="0" borderId="5" xfId="0" applyNumberFormat="1" applyBorder="1" applyAlignment="1">
      <alignment horizontal="center" vertical="top"/>
    </xf>
    <xf numFmtId="4" fontId="0" fillId="0" borderId="7" xfId="0" applyNumberFormat="1" applyBorder="1" applyAlignment="1">
      <alignment horizontal="center" vertical="top"/>
    </xf>
    <xf numFmtId="4" fontId="0" fillId="0" borderId="8" xfId="0" applyNumberFormat="1" applyBorder="1" applyAlignment="1">
      <alignment horizontal="center" vertical="top"/>
    </xf>
    <xf numFmtId="4" fontId="0" fillId="0" borderId="9" xfId="0" applyNumberFormat="1" applyBorder="1" applyAlignment="1">
      <alignment horizontal="center" vertical="top"/>
    </xf>
    <xf numFmtId="4" fontId="0" fillId="0" borderId="2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14" fontId="0" fillId="0" borderId="2" xfId="0" applyNumberFormat="1" applyBorder="1" applyAlignment="1">
      <alignment horizontal="center" vertical="top"/>
    </xf>
    <xf numFmtId="14" fontId="0" fillId="0" borderId="6" xfId="0" applyNumberFormat="1" applyBorder="1" applyAlignment="1">
      <alignment horizontal="center" vertical="top"/>
    </xf>
    <xf numFmtId="14" fontId="0" fillId="0" borderId="5" xfId="0" applyNumberFormat="1" applyBorder="1" applyAlignment="1">
      <alignment horizontal="center" vertical="top"/>
    </xf>
    <xf numFmtId="14" fontId="0" fillId="0" borderId="2" xfId="0" applyNumberForma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top" wrapText="1"/>
    </xf>
    <xf numFmtId="14" fontId="0" fillId="0" borderId="5" xfId="0" applyNumberFormat="1" applyBorder="1" applyAlignment="1">
      <alignment horizontal="center" vertical="top" wrapText="1"/>
    </xf>
    <xf numFmtId="4" fontId="0" fillId="7" borderId="2" xfId="0" applyNumberFormat="1" applyFill="1" applyBorder="1" applyAlignment="1">
      <alignment horizontal="center" vertical="top"/>
    </xf>
    <xf numFmtId="4" fontId="0" fillId="7" borderId="6" xfId="0" applyNumberFormat="1" applyFill="1" applyBorder="1" applyAlignment="1">
      <alignment horizontal="center" vertical="top"/>
    </xf>
    <xf numFmtId="4" fontId="0" fillId="7" borderId="5" xfId="0" applyNumberFormat="1" applyFill="1" applyBorder="1" applyAlignment="1">
      <alignment horizontal="center" vertical="top"/>
    </xf>
    <xf numFmtId="14" fontId="0" fillId="0" borderId="2" xfId="0" applyNumberFormat="1" applyFill="1" applyBorder="1" applyAlignment="1">
      <alignment horizontal="center" vertical="top"/>
    </xf>
    <xf numFmtId="14" fontId="0" fillId="0" borderId="6" xfId="0" applyNumberFormat="1" applyFill="1" applyBorder="1" applyAlignment="1">
      <alignment horizontal="center" vertical="top"/>
    </xf>
    <xf numFmtId="14" fontId="0" fillId="0" borderId="5" xfId="0" applyNumberFormat="1" applyFill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6" fontId="9" fillId="0" borderId="1" xfId="0" applyNumberFormat="1" applyFont="1" applyBorder="1" applyAlignment="1">
      <alignment vertical="top" wrapText="1"/>
    </xf>
  </cellXfs>
  <cellStyles count="4">
    <cellStyle name="Currency" xfId="1" builtinId="4"/>
    <cellStyle name="Neutral" xfId="2" builtinId="28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50</xdr:row>
      <xdr:rowOff>142875</xdr:rowOff>
    </xdr:from>
    <xdr:to>
      <xdr:col>11</xdr:col>
      <xdr:colOff>666750</xdr:colOff>
      <xdr:row>50</xdr:row>
      <xdr:rowOff>142875</xdr:rowOff>
    </xdr:to>
    <xdr:sp macro="" textlink="">
      <xdr:nvSpPr>
        <xdr:cNvPr id="2106" name="Line 3"/>
        <xdr:cNvSpPr>
          <a:spLocks noChangeShapeType="1"/>
        </xdr:cNvSpPr>
      </xdr:nvSpPr>
      <xdr:spPr bwMode="auto">
        <a:xfrm>
          <a:off x="9525" y="8562975"/>
          <a:ext cx="10887075" cy="0"/>
        </a:xfrm>
        <a:prstGeom prst="line">
          <a:avLst/>
        </a:prstGeom>
        <a:noFill/>
        <a:ln w="28575">
          <a:solidFill>
            <a:srgbClr val="0000FF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T194"/>
  <sheetViews>
    <sheetView tabSelected="1" workbookViewId="0">
      <pane xSplit="6" ySplit="5" topLeftCell="I187" activePane="bottomRight" state="frozen"/>
      <selection activeCell="C57" sqref="C57"/>
      <selection pane="topRight" activeCell="C57" sqref="C57"/>
      <selection pane="bottomLeft" activeCell="C57" sqref="C57"/>
      <selection pane="bottomRight" activeCell="M194" sqref="M194"/>
    </sheetView>
  </sheetViews>
  <sheetFormatPr defaultColWidth="9.109375" defaultRowHeight="13.2" outlineLevelCol="1" x14ac:dyDescent="0.25"/>
  <cols>
    <col min="1" max="1" width="20" style="9" bestFit="1" customWidth="1"/>
    <col min="2" max="2" width="7.44140625" style="10" bestFit="1" customWidth="1"/>
    <col min="3" max="3" width="16.109375" style="10" customWidth="1" outlineLevel="1"/>
    <col min="4" max="4" width="22.5546875" style="9" customWidth="1" outlineLevel="1"/>
    <col min="5" max="5" width="10.109375" style="10" customWidth="1" outlineLevel="1"/>
    <col min="6" max="6" width="15.6640625" style="11" customWidth="1" outlineLevel="1" collapsed="1"/>
    <col min="7" max="7" width="9.109375" style="12" bestFit="1"/>
    <col min="8" max="8" width="11.44140625" style="12" bestFit="1" customWidth="1"/>
    <col min="9" max="9" width="10" style="12" bestFit="1" customWidth="1"/>
    <col min="10" max="10" width="11.44140625" style="12" customWidth="1"/>
    <col min="11" max="11" width="9.33203125" style="12" bestFit="1" customWidth="1"/>
    <col min="12" max="12" width="8.5546875" style="12" bestFit="1" customWidth="1"/>
    <col min="13" max="13" width="7.88671875" style="38" customWidth="1"/>
    <col min="14" max="14" width="9.88671875" style="12" customWidth="1"/>
    <col min="15" max="15" width="10.109375" style="13" bestFit="1" customWidth="1"/>
    <col min="16" max="16" width="14.109375" style="13" bestFit="1" customWidth="1"/>
    <col min="17" max="17" width="9.44140625" style="63" customWidth="1"/>
    <col min="18" max="18" width="7.109375" style="10" customWidth="1"/>
    <col min="19" max="19" width="9.88671875" style="10" customWidth="1"/>
    <col min="20" max="20" width="52.109375" style="9" customWidth="1"/>
    <col min="21" max="16384" width="9.109375" style="10"/>
  </cols>
  <sheetData>
    <row r="1" spans="1:20" x14ac:dyDescent="0.25">
      <c r="A1" s="53" t="s">
        <v>0</v>
      </c>
    </row>
    <row r="5" spans="1:20" ht="26.4" x14ac:dyDescent="0.25">
      <c r="A5" s="9" t="s">
        <v>1</v>
      </c>
      <c r="B5" s="9" t="s">
        <v>32</v>
      </c>
      <c r="C5" s="9" t="s">
        <v>4</v>
      </c>
      <c r="D5" s="9" t="s">
        <v>5</v>
      </c>
      <c r="E5" s="9" t="s">
        <v>3</v>
      </c>
      <c r="F5" s="14" t="s">
        <v>12</v>
      </c>
      <c r="G5" s="15" t="s">
        <v>6</v>
      </c>
      <c r="H5" s="15" t="s">
        <v>9</v>
      </c>
      <c r="I5" s="15" t="s">
        <v>7</v>
      </c>
      <c r="J5" s="15" t="s">
        <v>283</v>
      </c>
      <c r="K5" s="15" t="s">
        <v>365</v>
      </c>
      <c r="L5" s="15" t="s">
        <v>391</v>
      </c>
      <c r="M5" s="39" t="s">
        <v>17</v>
      </c>
      <c r="N5" s="15" t="s">
        <v>392</v>
      </c>
      <c r="O5" s="16" t="s">
        <v>13</v>
      </c>
      <c r="P5" s="16" t="s">
        <v>15</v>
      </c>
      <c r="Q5" s="64" t="s">
        <v>19</v>
      </c>
      <c r="R5" s="9" t="s">
        <v>8</v>
      </c>
      <c r="S5" s="9" t="s">
        <v>518</v>
      </c>
      <c r="T5" s="89" t="s">
        <v>484</v>
      </c>
    </row>
    <row r="6" spans="1:20" ht="52.8" x14ac:dyDescent="0.25">
      <c r="A6" s="9" t="s">
        <v>234</v>
      </c>
      <c r="B6" s="9" t="s">
        <v>33</v>
      </c>
      <c r="C6" s="9"/>
      <c r="E6" s="9"/>
      <c r="F6" s="14"/>
      <c r="G6" s="15"/>
      <c r="H6" s="15"/>
      <c r="I6" s="15"/>
      <c r="J6" s="15"/>
      <c r="K6" s="15"/>
      <c r="L6" s="15"/>
      <c r="M6" s="39"/>
      <c r="N6" s="15"/>
      <c r="O6" s="16"/>
      <c r="P6" s="16"/>
      <c r="Q6" s="16"/>
      <c r="R6" s="9"/>
      <c r="S6" s="9"/>
      <c r="T6" s="9" t="s">
        <v>297</v>
      </c>
    </row>
    <row r="7" spans="1:20" x14ac:dyDescent="0.25">
      <c r="A7" s="9" t="s">
        <v>2</v>
      </c>
      <c r="B7" s="10" t="s">
        <v>33</v>
      </c>
      <c r="C7" s="13">
        <v>39238</v>
      </c>
      <c r="E7" s="13">
        <v>39259</v>
      </c>
      <c r="F7" s="11">
        <v>61940631</v>
      </c>
      <c r="G7" s="12">
        <v>443.45</v>
      </c>
      <c r="H7" s="12">
        <v>261.06</v>
      </c>
      <c r="I7" s="12">
        <f t="shared" ref="I7:I17" si="0">G7-H7</f>
        <v>182.39</v>
      </c>
      <c r="L7" s="12">
        <v>182.39</v>
      </c>
      <c r="N7" s="12">
        <v>182.39</v>
      </c>
      <c r="O7" s="13">
        <v>39273</v>
      </c>
      <c r="P7" s="13" t="s">
        <v>16</v>
      </c>
      <c r="Q7" s="13"/>
      <c r="R7" s="10" t="s">
        <v>14</v>
      </c>
    </row>
    <row r="8" spans="1:20" x14ac:dyDescent="0.25">
      <c r="A8" s="9" t="s">
        <v>2</v>
      </c>
      <c r="B8" s="10" t="s">
        <v>33</v>
      </c>
      <c r="C8" s="13">
        <v>39308</v>
      </c>
      <c r="E8" s="13">
        <v>39324</v>
      </c>
      <c r="F8" s="17">
        <v>62300637</v>
      </c>
      <c r="G8" s="12">
        <v>257.10000000000002</v>
      </c>
      <c r="H8" s="12">
        <v>244.29</v>
      </c>
      <c r="I8" s="12">
        <f t="shared" si="0"/>
        <v>12.810000000000031</v>
      </c>
      <c r="L8" s="12">
        <v>12.81</v>
      </c>
      <c r="N8" s="12">
        <v>12.81</v>
      </c>
      <c r="O8" s="13">
        <v>39401</v>
      </c>
      <c r="P8" s="13" t="s">
        <v>16</v>
      </c>
      <c r="Q8" s="13" t="s">
        <v>18</v>
      </c>
      <c r="R8" s="10" t="s">
        <v>14</v>
      </c>
    </row>
    <row r="9" spans="1:20" x14ac:dyDescent="0.25">
      <c r="A9" s="9" t="s">
        <v>2</v>
      </c>
      <c r="B9" s="10" t="s">
        <v>33</v>
      </c>
      <c r="C9" s="13">
        <v>39315</v>
      </c>
      <c r="E9" s="13">
        <v>39332</v>
      </c>
      <c r="F9" s="11">
        <v>62302633</v>
      </c>
      <c r="G9" s="12">
        <v>257.10000000000002</v>
      </c>
      <c r="H9" s="12">
        <v>244.29</v>
      </c>
      <c r="I9" s="12">
        <f t="shared" si="0"/>
        <v>12.810000000000031</v>
      </c>
      <c r="L9" s="12">
        <v>12.81</v>
      </c>
      <c r="N9" s="12">
        <v>12.81</v>
      </c>
      <c r="O9" s="13">
        <v>39332</v>
      </c>
      <c r="P9" s="13" t="s">
        <v>16</v>
      </c>
      <c r="Q9" s="13"/>
      <c r="R9" s="10" t="s">
        <v>14</v>
      </c>
    </row>
    <row r="10" spans="1:20" x14ac:dyDescent="0.25">
      <c r="A10" s="9" t="s">
        <v>2</v>
      </c>
      <c r="B10" s="10" t="s">
        <v>33</v>
      </c>
      <c r="C10" s="13">
        <v>39322</v>
      </c>
      <c r="E10" s="13">
        <v>39338</v>
      </c>
      <c r="F10" s="18">
        <v>62354139</v>
      </c>
      <c r="G10" s="12">
        <v>257.10000000000002</v>
      </c>
      <c r="H10" s="12">
        <v>244.29</v>
      </c>
      <c r="I10" s="12">
        <f t="shared" si="0"/>
        <v>12.810000000000031</v>
      </c>
      <c r="L10" s="12">
        <v>12.81</v>
      </c>
      <c r="N10" s="12">
        <v>12.81</v>
      </c>
      <c r="O10" s="13">
        <v>39401</v>
      </c>
      <c r="P10" s="13" t="s">
        <v>16</v>
      </c>
      <c r="Q10" s="13" t="s">
        <v>18</v>
      </c>
      <c r="R10" s="10" t="s">
        <v>14</v>
      </c>
    </row>
    <row r="11" spans="1:20" x14ac:dyDescent="0.25">
      <c r="A11" s="9" t="s">
        <v>2</v>
      </c>
      <c r="B11" s="10" t="s">
        <v>33</v>
      </c>
      <c r="C11" s="13">
        <v>39350</v>
      </c>
      <c r="E11" s="13">
        <v>39366</v>
      </c>
      <c r="F11" s="19">
        <v>62505789</v>
      </c>
      <c r="G11" s="12">
        <v>257.10000000000002</v>
      </c>
      <c r="H11" s="12">
        <v>244.29</v>
      </c>
      <c r="I11" s="12">
        <f t="shared" si="0"/>
        <v>12.810000000000031</v>
      </c>
      <c r="L11" s="12">
        <v>12.81</v>
      </c>
      <c r="N11" s="12">
        <v>12.81</v>
      </c>
      <c r="O11" s="13">
        <v>39401</v>
      </c>
      <c r="P11" s="13" t="s">
        <v>16</v>
      </c>
      <c r="Q11" s="13" t="s">
        <v>18</v>
      </c>
      <c r="R11" s="10" t="s">
        <v>14</v>
      </c>
    </row>
    <row r="12" spans="1:20" x14ac:dyDescent="0.25">
      <c r="A12" s="9" t="s">
        <v>2</v>
      </c>
      <c r="B12" s="10" t="s">
        <v>33</v>
      </c>
      <c r="C12" s="13">
        <v>39357</v>
      </c>
      <c r="E12" s="13">
        <v>39371</v>
      </c>
      <c r="F12" s="20">
        <v>62513007</v>
      </c>
      <c r="G12" s="12">
        <v>257.10000000000002</v>
      </c>
      <c r="H12" s="12">
        <v>244.29</v>
      </c>
      <c r="I12" s="12">
        <f t="shared" si="0"/>
        <v>12.810000000000031</v>
      </c>
      <c r="L12" s="12">
        <v>12.81</v>
      </c>
      <c r="N12" s="12">
        <v>12.81</v>
      </c>
      <c r="O12" s="13">
        <v>39401</v>
      </c>
      <c r="P12" s="13" t="s">
        <v>16</v>
      </c>
      <c r="Q12" s="13" t="s">
        <v>18</v>
      </c>
      <c r="R12" s="10" t="s">
        <v>14</v>
      </c>
    </row>
    <row r="13" spans="1:20" x14ac:dyDescent="0.25">
      <c r="A13" s="9" t="s">
        <v>2</v>
      </c>
      <c r="B13" s="10" t="s">
        <v>33</v>
      </c>
      <c r="C13" s="13">
        <v>39364</v>
      </c>
      <c r="E13" s="13">
        <v>39378</v>
      </c>
      <c r="F13" s="11">
        <v>62544697</v>
      </c>
      <c r="G13" s="12">
        <v>514.20000000000005</v>
      </c>
      <c r="H13" s="12">
        <v>490.37</v>
      </c>
      <c r="I13" s="12">
        <f t="shared" si="0"/>
        <v>23.830000000000041</v>
      </c>
      <c r="L13" s="12">
        <v>23.83</v>
      </c>
      <c r="N13" s="12">
        <v>23.83</v>
      </c>
      <c r="O13" s="13">
        <v>39401</v>
      </c>
      <c r="P13" s="13" t="s">
        <v>16</v>
      </c>
      <c r="Q13" s="13" t="s">
        <v>18</v>
      </c>
      <c r="R13" s="10" t="s">
        <v>14</v>
      </c>
    </row>
    <row r="14" spans="1:20" x14ac:dyDescent="0.25">
      <c r="A14" s="9" t="s">
        <v>2</v>
      </c>
      <c r="B14" s="10" t="s">
        <v>33</v>
      </c>
      <c r="C14" s="13">
        <v>39370</v>
      </c>
      <c r="E14" s="13">
        <v>39387</v>
      </c>
      <c r="F14" s="11">
        <v>62642871</v>
      </c>
      <c r="G14" s="12">
        <v>257.10000000000002</v>
      </c>
      <c r="H14" s="12">
        <v>246.08</v>
      </c>
      <c r="I14" s="12">
        <f t="shared" si="0"/>
        <v>11.02000000000001</v>
      </c>
      <c r="L14" s="12">
        <v>11.02</v>
      </c>
      <c r="N14" s="12">
        <v>11.02</v>
      </c>
      <c r="O14" s="13">
        <v>39401</v>
      </c>
      <c r="P14" s="13" t="s">
        <v>16</v>
      </c>
      <c r="Q14" s="13" t="s">
        <v>18</v>
      </c>
      <c r="R14" s="10" t="s">
        <v>14</v>
      </c>
    </row>
    <row r="15" spans="1:20" s="22" customFormat="1" x14ac:dyDescent="0.25">
      <c r="A15" s="21" t="s">
        <v>2</v>
      </c>
      <c r="B15" s="22" t="s">
        <v>33</v>
      </c>
      <c r="C15" s="22" t="s">
        <v>11</v>
      </c>
      <c r="D15" s="25"/>
      <c r="E15" s="23">
        <v>39391</v>
      </c>
      <c r="F15" s="24">
        <v>62651450</v>
      </c>
      <c r="G15" s="26">
        <v>14649.65</v>
      </c>
      <c r="H15" s="26">
        <v>13688.28</v>
      </c>
      <c r="I15" s="26">
        <f t="shared" si="0"/>
        <v>961.36999999999898</v>
      </c>
      <c r="J15" s="26"/>
      <c r="K15" s="26"/>
      <c r="L15" s="26">
        <v>961.37</v>
      </c>
      <c r="M15" s="40"/>
      <c r="N15" s="26">
        <v>961.37</v>
      </c>
      <c r="O15" s="23">
        <v>39451</v>
      </c>
      <c r="P15" s="23" t="s">
        <v>16</v>
      </c>
      <c r="Q15" s="23" t="s">
        <v>71</v>
      </c>
      <c r="R15" s="22" t="s">
        <v>14</v>
      </c>
      <c r="T15" s="21"/>
    </row>
    <row r="16" spans="1:20" x14ac:dyDescent="0.25">
      <c r="A16" s="9" t="s">
        <v>2</v>
      </c>
      <c r="B16" s="10" t="s">
        <v>33</v>
      </c>
      <c r="C16" s="13">
        <v>39375</v>
      </c>
      <c r="E16" s="13">
        <v>39394</v>
      </c>
      <c r="F16" s="11">
        <v>62673975</v>
      </c>
      <c r="G16" s="12">
        <v>960.45</v>
      </c>
      <c r="H16" s="12">
        <v>924.48</v>
      </c>
      <c r="I16" s="12">
        <f t="shared" si="0"/>
        <v>35.970000000000027</v>
      </c>
      <c r="L16" s="12">
        <v>35.97</v>
      </c>
      <c r="N16" s="12">
        <v>35.97</v>
      </c>
      <c r="O16" s="13">
        <v>39401</v>
      </c>
      <c r="P16" s="13" t="s">
        <v>16</v>
      </c>
      <c r="Q16" s="13" t="s">
        <v>18</v>
      </c>
      <c r="R16" s="10" t="s">
        <v>14</v>
      </c>
    </row>
    <row r="17" spans="1:20" x14ac:dyDescent="0.25">
      <c r="A17" s="9" t="s">
        <v>2</v>
      </c>
      <c r="B17" s="10" t="s">
        <v>33</v>
      </c>
      <c r="C17" s="10" t="s">
        <v>11</v>
      </c>
      <c r="E17" s="13">
        <v>39400</v>
      </c>
      <c r="F17" s="11">
        <v>62653100</v>
      </c>
      <c r="G17" s="12">
        <v>2485.3000000000002</v>
      </c>
      <c r="H17" s="12">
        <v>2382.0100000000002</v>
      </c>
      <c r="I17" s="12">
        <f t="shared" si="0"/>
        <v>103.28999999999996</v>
      </c>
      <c r="L17" s="12">
        <v>103.29</v>
      </c>
      <c r="N17" s="12">
        <v>103.29</v>
      </c>
      <c r="O17" s="13">
        <v>39401</v>
      </c>
      <c r="P17" s="13" t="s">
        <v>16</v>
      </c>
      <c r="Q17" s="13" t="s">
        <v>18</v>
      </c>
      <c r="R17" s="10" t="s">
        <v>14</v>
      </c>
    </row>
    <row r="18" spans="1:20" ht="26.4" x14ac:dyDescent="0.25">
      <c r="A18" s="9" t="s">
        <v>21</v>
      </c>
      <c r="B18" s="10" t="s">
        <v>33</v>
      </c>
      <c r="C18" s="9" t="s">
        <v>22</v>
      </c>
      <c r="D18" s="9" t="s">
        <v>23</v>
      </c>
      <c r="E18" s="10" t="s">
        <v>10</v>
      </c>
      <c r="G18" s="12">
        <f>391.5+486</f>
        <v>877.5</v>
      </c>
      <c r="H18" s="12">
        <f>157.86+339.78</f>
        <v>497.64</v>
      </c>
      <c r="I18" s="12">
        <v>14.61</v>
      </c>
      <c r="L18" s="12">
        <v>14.61</v>
      </c>
      <c r="N18" s="12">
        <v>14.61</v>
      </c>
      <c r="O18" s="13">
        <v>39405</v>
      </c>
      <c r="P18" s="13" t="s">
        <v>24</v>
      </c>
      <c r="Q18" s="13" t="s">
        <v>18</v>
      </c>
      <c r="R18" s="22" t="s">
        <v>14</v>
      </c>
      <c r="S18" s="22"/>
    </row>
    <row r="19" spans="1:20" ht="26.4" x14ac:dyDescent="0.25">
      <c r="A19" s="9" t="s">
        <v>21</v>
      </c>
      <c r="B19" s="10" t="s">
        <v>33</v>
      </c>
      <c r="C19" s="9" t="s">
        <v>87</v>
      </c>
      <c r="D19" s="9" t="s">
        <v>88</v>
      </c>
      <c r="E19" s="13">
        <v>39407</v>
      </c>
      <c r="F19" s="11" t="s">
        <v>86</v>
      </c>
      <c r="G19" s="12">
        <v>818.5</v>
      </c>
      <c r="H19" s="12">
        <v>559.82000000000005</v>
      </c>
      <c r="I19" s="12">
        <f>G19-H19</f>
        <v>258.67999999999995</v>
      </c>
      <c r="L19" s="12">
        <v>25.86</v>
      </c>
      <c r="N19" s="12" t="s">
        <v>89</v>
      </c>
      <c r="Q19" s="13"/>
      <c r="R19" s="22"/>
      <c r="S19" s="22"/>
    </row>
    <row r="20" spans="1:20" x14ac:dyDescent="0.25">
      <c r="A20" s="9" t="s">
        <v>21</v>
      </c>
      <c r="B20" s="10" t="s">
        <v>33</v>
      </c>
      <c r="C20" s="9" t="s">
        <v>80</v>
      </c>
      <c r="D20" s="9" t="s">
        <v>80</v>
      </c>
      <c r="E20" s="13">
        <v>39428</v>
      </c>
      <c r="F20" s="11">
        <v>903651392</v>
      </c>
      <c r="G20" s="12" t="s">
        <v>80</v>
      </c>
      <c r="H20" s="12" t="s">
        <v>80</v>
      </c>
      <c r="I20" s="12" t="s">
        <v>80</v>
      </c>
      <c r="L20" s="12">
        <v>21.85</v>
      </c>
      <c r="N20" s="12">
        <v>21.85</v>
      </c>
      <c r="O20" s="13">
        <v>39451</v>
      </c>
      <c r="P20" s="13" t="s">
        <v>24</v>
      </c>
      <c r="Q20" s="13" t="s">
        <v>81</v>
      </c>
      <c r="R20" s="22" t="s">
        <v>14</v>
      </c>
      <c r="S20" s="22"/>
    </row>
    <row r="21" spans="1:20" x14ac:dyDescent="0.25">
      <c r="A21" s="9" t="s">
        <v>25</v>
      </c>
      <c r="B21" s="10" t="s">
        <v>33</v>
      </c>
      <c r="C21" s="13">
        <v>39371</v>
      </c>
      <c r="D21" s="9" t="s">
        <v>27</v>
      </c>
      <c r="E21" s="13">
        <v>39394</v>
      </c>
      <c r="F21" s="11" t="s">
        <v>26</v>
      </c>
      <c r="G21" s="12">
        <v>1120</v>
      </c>
      <c r="H21" s="12">
        <v>476</v>
      </c>
      <c r="I21" s="12">
        <f>G21-H21</f>
        <v>644</v>
      </c>
      <c r="L21" s="12">
        <v>64.400000000000006</v>
      </c>
      <c r="N21" s="12">
        <v>64.400000000000006</v>
      </c>
      <c r="O21" s="13">
        <v>39405</v>
      </c>
      <c r="P21" s="13" t="s">
        <v>24</v>
      </c>
      <c r="Q21" s="13" t="s">
        <v>28</v>
      </c>
      <c r="R21" s="10" t="s">
        <v>14</v>
      </c>
    </row>
    <row r="22" spans="1:20" ht="26.4" x14ac:dyDescent="0.25">
      <c r="A22" s="9" t="s">
        <v>29</v>
      </c>
      <c r="B22" s="10" t="s">
        <v>33</v>
      </c>
      <c r="C22" s="13">
        <v>39359</v>
      </c>
      <c r="D22" s="9" t="s">
        <v>30</v>
      </c>
      <c r="E22" s="13">
        <v>39392</v>
      </c>
      <c r="F22" s="11">
        <v>29003476</v>
      </c>
      <c r="G22" s="12">
        <f>H22+I22</f>
        <v>128.94</v>
      </c>
      <c r="H22" s="12">
        <v>73.42</v>
      </c>
      <c r="I22" s="12">
        <f>L22+21.63</f>
        <v>55.519999999999996</v>
      </c>
      <c r="L22" s="12">
        <v>33.89</v>
      </c>
      <c r="N22" s="12">
        <v>33.89</v>
      </c>
      <c r="O22" s="13">
        <v>39405</v>
      </c>
      <c r="P22" s="13" t="s">
        <v>24</v>
      </c>
      <c r="Q22" s="13" t="s">
        <v>31</v>
      </c>
      <c r="R22" s="10" t="s">
        <v>14</v>
      </c>
    </row>
    <row r="23" spans="1:20" ht="26.4" x14ac:dyDescent="0.25">
      <c r="A23" s="9" t="s">
        <v>34</v>
      </c>
      <c r="B23" s="10" t="s">
        <v>35</v>
      </c>
      <c r="C23" s="13">
        <v>39189</v>
      </c>
      <c r="D23" s="9" t="s">
        <v>36</v>
      </c>
      <c r="E23" s="13" t="s">
        <v>10</v>
      </c>
      <c r="F23" s="11">
        <v>43728</v>
      </c>
      <c r="G23" s="12">
        <v>228</v>
      </c>
      <c r="H23" s="12">
        <v>84.24</v>
      </c>
      <c r="I23" s="12">
        <f>G23-H23-143.76</f>
        <v>0</v>
      </c>
      <c r="N23" s="12">
        <v>50</v>
      </c>
      <c r="O23" s="13">
        <v>39189</v>
      </c>
      <c r="Q23" s="13" t="s">
        <v>38</v>
      </c>
      <c r="R23" s="10" t="s">
        <v>14</v>
      </c>
    </row>
    <row r="24" spans="1:20" ht="26.4" x14ac:dyDescent="0.25">
      <c r="A24" s="9" t="s">
        <v>34</v>
      </c>
      <c r="B24" s="10" t="s">
        <v>35</v>
      </c>
      <c r="C24" s="13">
        <v>39223</v>
      </c>
      <c r="D24" s="9" t="s">
        <v>37</v>
      </c>
      <c r="E24" s="13">
        <v>39294</v>
      </c>
      <c r="F24" s="11">
        <v>43728</v>
      </c>
      <c r="G24" s="12">
        <f>1504-228</f>
        <v>1276</v>
      </c>
      <c r="H24" s="12">
        <v>871.88</v>
      </c>
      <c r="I24" s="12">
        <f>G24-H24</f>
        <v>404.12</v>
      </c>
      <c r="L24" s="12">
        <f>I24</f>
        <v>404.12</v>
      </c>
      <c r="M24" s="38">
        <v>-50</v>
      </c>
      <c r="N24" s="12">
        <v>354.12</v>
      </c>
      <c r="O24" s="13">
        <v>39283</v>
      </c>
      <c r="Q24" s="13"/>
      <c r="R24" s="10" t="s">
        <v>14</v>
      </c>
    </row>
    <row r="25" spans="1:20" ht="26.4" x14ac:dyDescent="0.25">
      <c r="A25" s="9" t="s">
        <v>29</v>
      </c>
      <c r="B25" s="10" t="s">
        <v>33</v>
      </c>
      <c r="C25" s="13">
        <v>39163</v>
      </c>
      <c r="D25" s="9" t="s">
        <v>39</v>
      </c>
      <c r="E25" s="13">
        <v>39188</v>
      </c>
      <c r="F25" s="11">
        <v>27354868</v>
      </c>
      <c r="G25" s="12">
        <v>63</v>
      </c>
      <c r="H25" s="12">
        <v>35.56</v>
      </c>
      <c r="I25" s="12">
        <f>G25-H25</f>
        <v>27.439999999999998</v>
      </c>
      <c r="L25" s="12">
        <v>27.44</v>
      </c>
      <c r="N25" s="12">
        <v>27.44</v>
      </c>
      <c r="O25" s="13">
        <v>39216</v>
      </c>
      <c r="P25" s="13" t="s">
        <v>16</v>
      </c>
      <c r="Q25" s="13" t="s">
        <v>40</v>
      </c>
      <c r="R25" s="10" t="s">
        <v>14</v>
      </c>
    </row>
    <row r="26" spans="1:20" ht="26.4" x14ac:dyDescent="0.25">
      <c r="A26" s="9" t="s">
        <v>29</v>
      </c>
      <c r="B26" s="10" t="s">
        <v>33</v>
      </c>
      <c r="C26" s="13">
        <v>39163</v>
      </c>
      <c r="D26" s="9" t="s">
        <v>41</v>
      </c>
      <c r="E26" s="13">
        <v>39181</v>
      </c>
      <c r="F26" s="11">
        <v>27267080</v>
      </c>
      <c r="G26" s="12">
        <f>H26+98</f>
        <v>662.16</v>
      </c>
      <c r="H26" s="12">
        <v>564.16</v>
      </c>
      <c r="I26" s="12">
        <f>L26</f>
        <v>98</v>
      </c>
      <c r="L26" s="12">
        <v>98</v>
      </c>
      <c r="N26" s="12">
        <v>98</v>
      </c>
      <c r="O26" s="13">
        <v>39189</v>
      </c>
      <c r="P26" s="13" t="s">
        <v>24</v>
      </c>
      <c r="Q26" s="13" t="s">
        <v>42</v>
      </c>
      <c r="R26" s="10" t="s">
        <v>14</v>
      </c>
    </row>
    <row r="27" spans="1:20" ht="26.4" x14ac:dyDescent="0.25">
      <c r="A27" s="9" t="s">
        <v>43</v>
      </c>
      <c r="B27" s="10" t="s">
        <v>33</v>
      </c>
      <c r="C27" s="11" t="s">
        <v>45</v>
      </c>
      <c r="D27" s="14" t="s">
        <v>46</v>
      </c>
      <c r="E27" s="13">
        <v>39352</v>
      </c>
      <c r="F27" s="11" t="s">
        <v>44</v>
      </c>
      <c r="G27" s="12">
        <f>116.5+136.5</f>
        <v>253</v>
      </c>
      <c r="H27" s="12">
        <f>107.8+127.41</f>
        <v>235.20999999999998</v>
      </c>
      <c r="I27" s="12">
        <f>G27-H27</f>
        <v>17.79000000000002</v>
      </c>
      <c r="L27" s="12">
        <v>17.79</v>
      </c>
      <c r="N27" s="12">
        <v>17.79</v>
      </c>
      <c r="O27" s="13">
        <v>39352</v>
      </c>
      <c r="P27" s="13" t="s">
        <v>47</v>
      </c>
      <c r="Q27" s="13" t="s">
        <v>40</v>
      </c>
      <c r="R27" s="10" t="s">
        <v>14</v>
      </c>
    </row>
    <row r="28" spans="1:20" s="28" customFormat="1" ht="26.4" x14ac:dyDescent="0.25">
      <c r="A28" s="27" t="s">
        <v>48</v>
      </c>
      <c r="B28" s="28" t="s">
        <v>49</v>
      </c>
      <c r="C28" s="27" t="s">
        <v>50</v>
      </c>
      <c r="D28" s="31" t="s">
        <v>36</v>
      </c>
      <c r="E28" s="29">
        <v>39394</v>
      </c>
      <c r="F28" s="30">
        <v>50</v>
      </c>
      <c r="G28" s="32">
        <f>69+69+10+69</f>
        <v>217</v>
      </c>
      <c r="H28" s="32">
        <f>13.8+13.8+7.3+13.8</f>
        <v>48.7</v>
      </c>
      <c r="I28" s="32">
        <f>G28-H28-11.7</f>
        <v>156.60000000000002</v>
      </c>
      <c r="J28" s="32"/>
      <c r="K28" s="32"/>
      <c r="L28" s="32">
        <v>156.6</v>
      </c>
      <c r="M28" s="41"/>
      <c r="N28" s="32">
        <v>156.6</v>
      </c>
      <c r="O28" s="29">
        <v>39416</v>
      </c>
      <c r="P28" s="29" t="s">
        <v>47</v>
      </c>
      <c r="Q28" s="29" t="s">
        <v>51</v>
      </c>
      <c r="R28" s="28" t="s">
        <v>14</v>
      </c>
      <c r="T28" s="27" t="s">
        <v>72</v>
      </c>
    </row>
    <row r="29" spans="1:20" x14ac:dyDescent="0.25">
      <c r="A29" s="9" t="s">
        <v>48</v>
      </c>
      <c r="B29" s="10" t="s">
        <v>52</v>
      </c>
      <c r="C29" s="10" t="s">
        <v>53</v>
      </c>
      <c r="D29" s="14" t="s">
        <v>54</v>
      </c>
      <c r="E29" s="13">
        <v>39394</v>
      </c>
      <c r="F29" s="11">
        <v>50</v>
      </c>
      <c r="G29" s="12">
        <f>134+62</f>
        <v>196</v>
      </c>
      <c r="H29" s="12" t="s">
        <v>10</v>
      </c>
      <c r="Q29" s="13"/>
      <c r="R29" s="33"/>
      <c r="S29" s="33"/>
    </row>
    <row r="30" spans="1:20" x14ac:dyDescent="0.25">
      <c r="A30" s="9" t="s">
        <v>55</v>
      </c>
      <c r="B30" s="10" t="s">
        <v>33</v>
      </c>
      <c r="C30" s="13">
        <v>39423</v>
      </c>
      <c r="D30" s="14" t="s">
        <v>56</v>
      </c>
      <c r="E30" s="13">
        <v>39423</v>
      </c>
      <c r="G30" s="12">
        <v>30</v>
      </c>
      <c r="L30" s="12">
        <v>30</v>
      </c>
      <c r="N30" s="12">
        <v>30</v>
      </c>
      <c r="O30" s="13">
        <v>39423</v>
      </c>
      <c r="P30" s="13" t="s">
        <v>47</v>
      </c>
      <c r="Q30" s="13" t="s">
        <v>38</v>
      </c>
      <c r="R30" s="10" t="s">
        <v>14</v>
      </c>
    </row>
    <row r="31" spans="1:20" x14ac:dyDescent="0.25">
      <c r="A31" s="9" t="s">
        <v>62</v>
      </c>
      <c r="B31" s="10" t="s">
        <v>63</v>
      </c>
      <c r="C31" s="10" t="s">
        <v>64</v>
      </c>
      <c r="D31" s="14" t="s">
        <v>65</v>
      </c>
      <c r="E31" s="13">
        <v>39423</v>
      </c>
      <c r="F31" s="11">
        <v>934000</v>
      </c>
      <c r="G31" s="12">
        <f>185+425+155</f>
        <v>765</v>
      </c>
      <c r="H31" s="12">
        <f>90.34+267+62.36</f>
        <v>419.70000000000005</v>
      </c>
      <c r="I31" s="12">
        <f>G31-H31</f>
        <v>345.29999999999995</v>
      </c>
      <c r="L31" s="12">
        <f>I31-85.19-142.2-83.38</f>
        <v>34.529999999999973</v>
      </c>
      <c r="N31" s="12">
        <v>34.53</v>
      </c>
      <c r="O31" s="13">
        <v>39451</v>
      </c>
      <c r="P31" s="13" t="s">
        <v>24</v>
      </c>
      <c r="Q31" s="13" t="s">
        <v>69</v>
      </c>
      <c r="R31" s="10" t="s">
        <v>14</v>
      </c>
    </row>
    <row r="32" spans="1:20" ht="26.4" x14ac:dyDescent="0.25">
      <c r="A32" s="9" t="s">
        <v>66</v>
      </c>
      <c r="B32" s="10" t="s">
        <v>52</v>
      </c>
      <c r="C32" s="10" t="s">
        <v>67</v>
      </c>
      <c r="D32" s="14" t="s">
        <v>68</v>
      </c>
      <c r="E32" s="13">
        <v>39425</v>
      </c>
      <c r="F32" s="11">
        <v>49329</v>
      </c>
      <c r="G32" s="12">
        <f>80+140+500+140</f>
        <v>860</v>
      </c>
      <c r="H32" s="12">
        <f>83.44+507.67</f>
        <v>591.11</v>
      </c>
      <c r="I32" s="12">
        <f>G32-H32</f>
        <v>268.89</v>
      </c>
      <c r="L32" s="12">
        <f>I32-56.56-205.59</f>
        <v>6.7399999999999807</v>
      </c>
      <c r="N32" s="12">
        <v>6.74</v>
      </c>
      <c r="O32" s="13">
        <v>39451</v>
      </c>
      <c r="P32" s="13" t="s">
        <v>24</v>
      </c>
      <c r="Q32" s="13" t="s">
        <v>70</v>
      </c>
      <c r="R32" s="10" t="s">
        <v>14</v>
      </c>
    </row>
    <row r="33" spans="1:20" x14ac:dyDescent="0.25">
      <c r="A33" s="9" t="s">
        <v>73</v>
      </c>
      <c r="B33" s="10" t="s">
        <v>33</v>
      </c>
      <c r="C33" s="13">
        <v>39238</v>
      </c>
      <c r="D33" s="14" t="s">
        <v>75</v>
      </c>
      <c r="E33" s="13">
        <v>39424</v>
      </c>
      <c r="F33" s="11" t="s">
        <v>74</v>
      </c>
      <c r="G33" s="12">
        <v>130</v>
      </c>
      <c r="N33" s="12">
        <v>130</v>
      </c>
      <c r="O33" s="13">
        <v>39451</v>
      </c>
      <c r="P33" s="13" t="s">
        <v>24</v>
      </c>
      <c r="Q33" s="13" t="s">
        <v>77</v>
      </c>
      <c r="R33" s="10" t="s">
        <v>14</v>
      </c>
      <c r="T33" s="9" t="s">
        <v>76</v>
      </c>
    </row>
    <row r="34" spans="1:20" ht="66" x14ac:dyDescent="0.25">
      <c r="A34" s="9" t="s">
        <v>120</v>
      </c>
      <c r="B34" s="10" t="s">
        <v>63</v>
      </c>
      <c r="C34" s="13">
        <v>39332</v>
      </c>
      <c r="D34" s="14" t="s">
        <v>79</v>
      </c>
      <c r="E34" s="13">
        <v>39402</v>
      </c>
      <c r="F34" s="11" t="s">
        <v>78</v>
      </c>
      <c r="G34" s="12">
        <v>713</v>
      </c>
      <c r="L34" s="12">
        <v>718</v>
      </c>
      <c r="N34" s="12">
        <v>718</v>
      </c>
      <c r="O34" s="13">
        <v>39583</v>
      </c>
      <c r="P34" s="13" t="s">
        <v>16</v>
      </c>
      <c r="Q34" s="13" t="s">
        <v>18</v>
      </c>
      <c r="R34" s="10" t="s">
        <v>14</v>
      </c>
      <c r="T34" s="9" t="s">
        <v>118</v>
      </c>
    </row>
    <row r="35" spans="1:20" ht="26.4" x14ac:dyDescent="0.25">
      <c r="A35" s="9" t="s">
        <v>82</v>
      </c>
      <c r="B35" s="10" t="s">
        <v>33</v>
      </c>
      <c r="C35" s="13">
        <v>39375</v>
      </c>
      <c r="D35" s="9" t="s">
        <v>84</v>
      </c>
      <c r="E35" s="13">
        <v>39407</v>
      </c>
      <c r="F35" s="11" t="s">
        <v>83</v>
      </c>
      <c r="G35" s="12">
        <v>416</v>
      </c>
      <c r="H35" s="12">
        <v>296.8</v>
      </c>
      <c r="I35" s="12">
        <f>G35-H35</f>
        <v>119.19999999999999</v>
      </c>
      <c r="L35" s="12">
        <f>I35-107.28</f>
        <v>11.919999999999987</v>
      </c>
      <c r="N35" s="12">
        <v>11.92</v>
      </c>
      <c r="O35" s="13">
        <v>39454</v>
      </c>
      <c r="P35" s="13" t="s">
        <v>24</v>
      </c>
      <c r="Q35" s="13" t="s">
        <v>85</v>
      </c>
      <c r="R35" s="10" t="s">
        <v>14</v>
      </c>
    </row>
    <row r="36" spans="1:20" ht="26.4" x14ac:dyDescent="0.25">
      <c r="A36" s="9" t="s">
        <v>29</v>
      </c>
      <c r="B36" s="10" t="s">
        <v>52</v>
      </c>
      <c r="C36" s="13">
        <v>39402</v>
      </c>
      <c r="D36" s="9" t="s">
        <v>52</v>
      </c>
      <c r="E36" s="13">
        <v>39541</v>
      </c>
      <c r="F36" s="11">
        <v>29526961</v>
      </c>
      <c r="L36" s="12">
        <v>29.92</v>
      </c>
      <c r="N36" s="12">
        <v>29.92</v>
      </c>
      <c r="O36" s="13">
        <v>39552</v>
      </c>
      <c r="P36" s="13" t="s">
        <v>24</v>
      </c>
      <c r="Q36" s="13" t="s">
        <v>105</v>
      </c>
      <c r="R36" s="10" t="s">
        <v>14</v>
      </c>
      <c r="T36" s="9" t="s">
        <v>106</v>
      </c>
    </row>
    <row r="37" spans="1:20" ht="26.4" x14ac:dyDescent="0.25">
      <c r="A37" s="9" t="s">
        <v>119</v>
      </c>
      <c r="B37" s="10" t="s">
        <v>33</v>
      </c>
      <c r="C37" s="13">
        <v>39464</v>
      </c>
      <c r="D37" s="9" t="s">
        <v>122</v>
      </c>
      <c r="E37" s="13"/>
      <c r="F37" s="37" t="s">
        <v>121</v>
      </c>
      <c r="G37" s="12">
        <v>75</v>
      </c>
      <c r="H37" s="12">
        <v>15</v>
      </c>
      <c r="L37" s="12">
        <v>60</v>
      </c>
      <c r="N37" s="12">
        <v>75</v>
      </c>
      <c r="O37" s="13">
        <v>39464</v>
      </c>
      <c r="P37" s="13" t="s">
        <v>123</v>
      </c>
      <c r="Q37" s="13" t="s">
        <v>124</v>
      </c>
      <c r="R37" s="10" t="s">
        <v>14</v>
      </c>
      <c r="T37" s="9" t="s">
        <v>125</v>
      </c>
    </row>
    <row r="38" spans="1:20" ht="26.4" x14ac:dyDescent="0.25">
      <c r="A38" s="9" t="s">
        <v>119</v>
      </c>
      <c r="B38" s="10" t="s">
        <v>33</v>
      </c>
      <c r="C38" s="13">
        <v>39497</v>
      </c>
      <c r="D38" s="9" t="s">
        <v>122</v>
      </c>
      <c r="E38" s="13">
        <v>39547</v>
      </c>
      <c r="F38" s="37" t="s">
        <v>121</v>
      </c>
      <c r="G38" s="12">
        <v>75</v>
      </c>
      <c r="H38" s="12">
        <v>15</v>
      </c>
      <c r="L38" s="12">
        <v>60</v>
      </c>
      <c r="M38" s="42">
        <v>-15</v>
      </c>
      <c r="N38" s="35">
        <v>45</v>
      </c>
      <c r="O38" s="13">
        <v>39590</v>
      </c>
      <c r="P38" s="13" t="s">
        <v>123</v>
      </c>
      <c r="Q38" s="13" t="s">
        <v>129</v>
      </c>
      <c r="R38" s="10" t="s">
        <v>14</v>
      </c>
    </row>
    <row r="39" spans="1:20" ht="26.4" x14ac:dyDescent="0.25">
      <c r="A39" s="9" t="s">
        <v>126</v>
      </c>
      <c r="B39" s="10" t="s">
        <v>33</v>
      </c>
      <c r="C39" s="13">
        <v>39518</v>
      </c>
      <c r="D39" s="9" t="s">
        <v>127</v>
      </c>
      <c r="E39" s="13">
        <v>39546</v>
      </c>
      <c r="F39" s="11">
        <v>1398</v>
      </c>
      <c r="G39" s="12">
        <v>225</v>
      </c>
      <c r="H39" s="12">
        <v>185</v>
      </c>
      <c r="I39" s="12">
        <v>40</v>
      </c>
      <c r="L39" s="12">
        <v>40</v>
      </c>
      <c r="N39" s="12">
        <v>40</v>
      </c>
      <c r="O39" s="13">
        <v>39590</v>
      </c>
      <c r="P39" s="13" t="s">
        <v>123</v>
      </c>
      <c r="Q39" s="13" t="s">
        <v>128</v>
      </c>
      <c r="R39" s="10" t="s">
        <v>14</v>
      </c>
    </row>
    <row r="40" spans="1:20" ht="26.4" x14ac:dyDescent="0.25">
      <c r="A40" s="9" t="s">
        <v>43</v>
      </c>
      <c r="B40" s="10" t="s">
        <v>33</v>
      </c>
      <c r="C40" s="10" t="s">
        <v>130</v>
      </c>
      <c r="D40" s="9" t="s">
        <v>131</v>
      </c>
      <c r="E40" s="13">
        <v>39553</v>
      </c>
      <c r="F40" s="11" t="s">
        <v>44</v>
      </c>
      <c r="L40" s="12">
        <v>64.680000000000007</v>
      </c>
      <c r="N40" s="12">
        <v>64.680000000000007</v>
      </c>
      <c r="O40" s="13">
        <v>39566</v>
      </c>
      <c r="P40" s="13" t="s">
        <v>16</v>
      </c>
      <c r="Q40" s="13" t="s">
        <v>132</v>
      </c>
      <c r="R40" s="10" t="s">
        <v>14</v>
      </c>
    </row>
    <row r="41" spans="1:20" ht="26.4" x14ac:dyDescent="0.25">
      <c r="A41" s="9" t="s">
        <v>133</v>
      </c>
      <c r="B41" s="10" t="s">
        <v>33</v>
      </c>
      <c r="Q41" s="13"/>
    </row>
    <row r="42" spans="1:20" ht="26.4" x14ac:dyDescent="0.25">
      <c r="A42" s="9" t="s">
        <v>133</v>
      </c>
      <c r="B42" s="10" t="s">
        <v>35</v>
      </c>
      <c r="N42" s="12">
        <v>401.3</v>
      </c>
      <c r="O42" s="13">
        <v>39589</v>
      </c>
      <c r="P42" s="13" t="s">
        <v>47</v>
      </c>
      <c r="Q42" s="13" t="s">
        <v>134</v>
      </c>
      <c r="R42" s="10" t="s">
        <v>14</v>
      </c>
    </row>
    <row r="43" spans="1:20" ht="26.4" x14ac:dyDescent="0.25">
      <c r="A43" s="9" t="s">
        <v>62</v>
      </c>
      <c r="B43" s="10" t="s">
        <v>35</v>
      </c>
      <c r="C43" s="13">
        <v>39526</v>
      </c>
      <c r="D43" s="9" t="s">
        <v>135</v>
      </c>
      <c r="E43" s="13">
        <v>39601</v>
      </c>
      <c r="F43" s="11">
        <v>8036</v>
      </c>
      <c r="G43" s="12">
        <f>155+60</f>
        <v>215</v>
      </c>
      <c r="H43" s="12">
        <f>57.28+62.36</f>
        <v>119.64</v>
      </c>
      <c r="I43" s="12">
        <f>92.64+2.72</f>
        <v>95.36</v>
      </c>
      <c r="L43" s="12">
        <f>I43</f>
        <v>95.36</v>
      </c>
      <c r="N43" s="12">
        <v>95.36</v>
      </c>
      <c r="O43" s="13">
        <v>39645</v>
      </c>
      <c r="P43" s="13" t="s">
        <v>24</v>
      </c>
      <c r="Q43" s="13" t="s">
        <v>144</v>
      </c>
      <c r="R43" s="10" t="s">
        <v>14</v>
      </c>
    </row>
    <row r="44" spans="1:20" ht="26.4" x14ac:dyDescent="0.25">
      <c r="A44" s="9" t="s">
        <v>43</v>
      </c>
      <c r="B44" s="10" t="s">
        <v>63</v>
      </c>
      <c r="C44" s="13">
        <v>39559</v>
      </c>
      <c r="D44" s="9" t="s">
        <v>146</v>
      </c>
      <c r="E44" s="13">
        <v>39629</v>
      </c>
      <c r="F44" s="11" t="s">
        <v>145</v>
      </c>
      <c r="G44" s="12">
        <v>144.9</v>
      </c>
      <c r="H44" s="12">
        <v>50.24</v>
      </c>
      <c r="I44" s="12">
        <v>94.66</v>
      </c>
      <c r="L44" s="12">
        <v>94.66</v>
      </c>
      <c r="N44" s="12">
        <v>94.66</v>
      </c>
      <c r="O44" s="13">
        <v>39646</v>
      </c>
      <c r="P44" s="13" t="s">
        <v>24</v>
      </c>
      <c r="Q44" s="13" t="s">
        <v>147</v>
      </c>
      <c r="R44" s="10" t="s">
        <v>14</v>
      </c>
    </row>
    <row r="45" spans="1:20" x14ac:dyDescent="0.25">
      <c r="A45" s="9" t="s">
        <v>43</v>
      </c>
      <c r="B45" s="10" t="s">
        <v>33</v>
      </c>
      <c r="C45" s="13">
        <v>39591</v>
      </c>
      <c r="D45" s="9" t="s">
        <v>148</v>
      </c>
      <c r="E45" s="13">
        <v>39637</v>
      </c>
      <c r="F45" s="11" t="s">
        <v>44</v>
      </c>
      <c r="G45" s="12">
        <f>78+23</f>
        <v>101</v>
      </c>
      <c r="H45" s="12">
        <f>47.04+4.6</f>
        <v>51.64</v>
      </c>
      <c r="I45" s="12">
        <f>G45-H45</f>
        <v>49.36</v>
      </c>
      <c r="L45" s="12">
        <f>30.96+18.4</f>
        <v>49.36</v>
      </c>
      <c r="N45" s="12">
        <v>49.36</v>
      </c>
      <c r="O45" s="13">
        <v>39650</v>
      </c>
      <c r="P45" s="13" t="s">
        <v>24</v>
      </c>
      <c r="Q45" s="13" t="s">
        <v>149</v>
      </c>
      <c r="R45" s="10" t="s">
        <v>14</v>
      </c>
    </row>
    <row r="46" spans="1:20" x14ac:dyDescent="0.25">
      <c r="A46" s="9" t="s">
        <v>150</v>
      </c>
      <c r="B46" s="10" t="s">
        <v>35</v>
      </c>
      <c r="C46" s="13">
        <v>39545</v>
      </c>
      <c r="D46" s="9" t="s">
        <v>152</v>
      </c>
      <c r="E46" s="13">
        <v>39626</v>
      </c>
      <c r="F46" s="37" t="s">
        <v>151</v>
      </c>
      <c r="G46" s="12">
        <v>500</v>
      </c>
      <c r="H46" s="12">
        <f>G46-I46</f>
        <v>116.24000000000001</v>
      </c>
      <c r="I46" s="12">
        <v>383.76</v>
      </c>
      <c r="L46" s="12">
        <v>383.76</v>
      </c>
      <c r="N46" s="12">
        <v>383.76</v>
      </c>
      <c r="O46" s="13">
        <v>39678</v>
      </c>
      <c r="P46" s="13" t="s">
        <v>24</v>
      </c>
      <c r="Q46" s="13" t="s">
        <v>153</v>
      </c>
      <c r="R46" s="10" t="s">
        <v>14</v>
      </c>
    </row>
    <row r="47" spans="1:20" x14ac:dyDescent="0.25">
      <c r="A47" s="9" t="s">
        <v>62</v>
      </c>
      <c r="B47" s="10" t="s">
        <v>52</v>
      </c>
      <c r="C47" s="13">
        <v>39573</v>
      </c>
      <c r="D47" s="9" t="s">
        <v>158</v>
      </c>
      <c r="E47" s="13">
        <v>39705</v>
      </c>
      <c r="F47" s="11">
        <v>8036</v>
      </c>
      <c r="G47" s="12">
        <v>185</v>
      </c>
      <c r="H47" s="12">
        <v>90.34</v>
      </c>
      <c r="I47" s="12">
        <v>94.66</v>
      </c>
      <c r="L47" s="12">
        <v>94.66</v>
      </c>
      <c r="N47" s="12">
        <v>94.66</v>
      </c>
      <c r="O47" s="13">
        <v>39739</v>
      </c>
      <c r="P47" s="13" t="s">
        <v>24</v>
      </c>
      <c r="Q47" s="13" t="s">
        <v>159</v>
      </c>
      <c r="R47" s="10" t="s">
        <v>14</v>
      </c>
    </row>
    <row r="48" spans="1:20" ht="26.4" x14ac:dyDescent="0.25">
      <c r="A48" s="9" t="s">
        <v>155</v>
      </c>
      <c r="B48" s="10" t="s">
        <v>33</v>
      </c>
      <c r="C48" s="13">
        <v>39503</v>
      </c>
      <c r="D48" s="9" t="s">
        <v>156</v>
      </c>
      <c r="E48" s="13">
        <v>39679</v>
      </c>
      <c r="F48" s="11">
        <v>403060</v>
      </c>
      <c r="G48" s="12">
        <v>874</v>
      </c>
      <c r="H48" s="12">
        <v>383.59</v>
      </c>
      <c r="I48" s="12">
        <v>490.41</v>
      </c>
      <c r="L48" s="12">
        <v>490.41</v>
      </c>
      <c r="N48" s="12">
        <v>490.41</v>
      </c>
      <c r="O48" s="13">
        <v>39739</v>
      </c>
      <c r="P48" s="13" t="s">
        <v>24</v>
      </c>
      <c r="Q48" s="13" t="s">
        <v>157</v>
      </c>
      <c r="R48" s="10" t="s">
        <v>14</v>
      </c>
    </row>
    <row r="49" spans="1:20" ht="26.4" x14ac:dyDescent="0.25">
      <c r="A49" s="9" t="s">
        <v>161</v>
      </c>
      <c r="B49" s="10" t="s">
        <v>52</v>
      </c>
      <c r="C49" s="13">
        <v>39671</v>
      </c>
      <c r="D49" s="9" t="s">
        <v>162</v>
      </c>
      <c r="E49" s="13">
        <v>39708</v>
      </c>
      <c r="F49" s="11">
        <v>46890</v>
      </c>
      <c r="G49" s="12">
        <v>78</v>
      </c>
      <c r="I49" s="12">
        <v>67.47</v>
      </c>
      <c r="L49" s="12">
        <v>67.47</v>
      </c>
      <c r="N49" s="43">
        <v>67.47</v>
      </c>
      <c r="O49" s="13">
        <v>39761</v>
      </c>
      <c r="P49" s="13" t="s">
        <v>24</v>
      </c>
      <c r="Q49" s="13" t="s">
        <v>167</v>
      </c>
      <c r="R49" s="10" t="s">
        <v>14</v>
      </c>
    </row>
    <row r="50" spans="1:20" x14ac:dyDescent="0.25">
      <c r="A50" s="9" t="s">
        <v>163</v>
      </c>
      <c r="B50" s="10" t="s">
        <v>33</v>
      </c>
      <c r="C50" s="13">
        <v>39675</v>
      </c>
      <c r="D50" s="9" t="s">
        <v>164</v>
      </c>
      <c r="E50" s="13">
        <v>39707</v>
      </c>
      <c r="F50" s="11">
        <v>26357</v>
      </c>
      <c r="G50" s="12">
        <v>354</v>
      </c>
      <c r="H50" s="12">
        <v>31.08</v>
      </c>
      <c r="I50" s="12">
        <v>322.92</v>
      </c>
      <c r="L50" s="12">
        <v>322.92</v>
      </c>
      <c r="N50" s="43">
        <v>322.92</v>
      </c>
      <c r="O50" s="13">
        <v>39761</v>
      </c>
      <c r="P50" s="13" t="s">
        <v>24</v>
      </c>
      <c r="Q50" s="63" t="s">
        <v>166</v>
      </c>
      <c r="R50" s="10" t="s">
        <v>14</v>
      </c>
    </row>
    <row r="51" spans="1:20" ht="26.4" x14ac:dyDescent="0.25">
      <c r="A51" s="9" t="s">
        <v>161</v>
      </c>
      <c r="B51" s="10" t="s">
        <v>52</v>
      </c>
      <c r="C51" s="13">
        <v>39714</v>
      </c>
      <c r="D51" s="9" t="s">
        <v>162</v>
      </c>
      <c r="E51" s="13">
        <v>39714</v>
      </c>
      <c r="F51" s="11">
        <v>46890</v>
      </c>
      <c r="G51" s="12">
        <v>129</v>
      </c>
      <c r="L51" s="12">
        <v>60.27</v>
      </c>
      <c r="N51" s="12">
        <v>60.27</v>
      </c>
      <c r="O51" s="13">
        <v>39761</v>
      </c>
      <c r="P51" s="13" t="s">
        <v>24</v>
      </c>
      <c r="Q51" s="13" t="s">
        <v>167</v>
      </c>
      <c r="R51" s="10" t="s">
        <v>14</v>
      </c>
    </row>
    <row r="52" spans="1:20" x14ac:dyDescent="0.25">
      <c r="A52" s="9" t="s">
        <v>163</v>
      </c>
      <c r="B52" s="10" t="s">
        <v>33</v>
      </c>
      <c r="C52" s="13">
        <v>39708</v>
      </c>
      <c r="D52" s="9" t="s">
        <v>148</v>
      </c>
      <c r="E52" s="13">
        <v>39730</v>
      </c>
      <c r="F52" s="11">
        <v>26357</v>
      </c>
      <c r="G52" s="12">
        <f>151+22+96+33</f>
        <v>302</v>
      </c>
      <c r="H52" s="12">
        <f>50.98+28.59+22.39</f>
        <v>101.96</v>
      </c>
      <c r="I52" s="12">
        <f>90.02+19.8+60.67+9.55</f>
        <v>180.04000000000002</v>
      </c>
      <c r="L52" s="12">
        <v>10</v>
      </c>
      <c r="N52" s="12">
        <v>10</v>
      </c>
      <c r="O52" s="13">
        <v>39761</v>
      </c>
      <c r="P52" s="13" t="s">
        <v>24</v>
      </c>
      <c r="Q52" s="63" t="s">
        <v>166</v>
      </c>
      <c r="R52" s="10" t="s">
        <v>14</v>
      </c>
    </row>
    <row r="53" spans="1:20" x14ac:dyDescent="0.25">
      <c r="A53" s="9" t="s">
        <v>163</v>
      </c>
      <c r="B53" s="10" t="s">
        <v>33</v>
      </c>
      <c r="C53" s="13">
        <v>39710</v>
      </c>
      <c r="D53" s="9" t="s">
        <v>165</v>
      </c>
      <c r="E53" s="13">
        <v>39730</v>
      </c>
      <c r="F53" s="11">
        <v>26357</v>
      </c>
      <c r="G53" s="12">
        <v>121</v>
      </c>
      <c r="H53" s="12">
        <v>10.96</v>
      </c>
      <c r="I53" s="12">
        <v>99.04</v>
      </c>
      <c r="L53" s="44">
        <v>11</v>
      </c>
      <c r="N53" s="44">
        <v>11</v>
      </c>
      <c r="O53" s="13">
        <v>39784</v>
      </c>
      <c r="P53" s="13" t="s">
        <v>24</v>
      </c>
      <c r="Q53" s="63" t="s">
        <v>182</v>
      </c>
      <c r="R53" s="10" t="s">
        <v>14</v>
      </c>
    </row>
    <row r="54" spans="1:20" ht="26.4" x14ac:dyDescent="0.25">
      <c r="A54" s="9" t="s">
        <v>171</v>
      </c>
      <c r="B54" s="10" t="s">
        <v>33</v>
      </c>
      <c r="C54" s="13">
        <v>39709</v>
      </c>
      <c r="D54" s="9" t="s">
        <v>173</v>
      </c>
      <c r="E54" s="13">
        <v>39743</v>
      </c>
      <c r="F54" s="11" t="s">
        <v>172</v>
      </c>
      <c r="G54" s="12">
        <f>110+54+132</f>
        <v>296</v>
      </c>
      <c r="H54" s="12">
        <f>28.4+13.71+32.65</f>
        <v>74.759999999999991</v>
      </c>
      <c r="I54" s="12">
        <f>73.44+36.26+89.51</f>
        <v>199.20999999999998</v>
      </c>
      <c r="L54" s="12">
        <f>8.16+4.03+9.94</f>
        <v>22.130000000000003</v>
      </c>
      <c r="N54" s="12">
        <v>22.13</v>
      </c>
      <c r="O54" s="13">
        <v>39761</v>
      </c>
      <c r="P54" s="13" t="s">
        <v>24</v>
      </c>
      <c r="Q54" s="13" t="s">
        <v>174</v>
      </c>
      <c r="R54" s="10" t="s">
        <v>14</v>
      </c>
    </row>
    <row r="55" spans="1:20" x14ac:dyDescent="0.25">
      <c r="A55" s="9" t="s">
        <v>175</v>
      </c>
      <c r="B55" s="10" t="s">
        <v>63</v>
      </c>
      <c r="C55" s="13">
        <v>39723</v>
      </c>
      <c r="D55" s="9" t="s">
        <v>177</v>
      </c>
      <c r="E55" s="13">
        <v>39751</v>
      </c>
      <c r="F55" s="11" t="s">
        <v>176</v>
      </c>
      <c r="G55" s="12">
        <v>119</v>
      </c>
      <c r="H55" s="12">
        <v>5.03</v>
      </c>
      <c r="I55" s="12">
        <f>G55-H55-102.57</f>
        <v>11.400000000000006</v>
      </c>
      <c r="L55" s="12">
        <v>11.4</v>
      </c>
      <c r="N55" s="12">
        <v>11.4</v>
      </c>
      <c r="O55" s="13">
        <v>39765</v>
      </c>
      <c r="P55" s="13" t="s">
        <v>24</v>
      </c>
      <c r="Q55" s="13" t="s">
        <v>179</v>
      </c>
      <c r="R55" s="10" t="s">
        <v>14</v>
      </c>
    </row>
    <row r="56" spans="1:20" x14ac:dyDescent="0.25">
      <c r="A56" s="9" t="s">
        <v>175</v>
      </c>
      <c r="B56" s="10" t="s">
        <v>33</v>
      </c>
      <c r="C56" s="13">
        <v>39732</v>
      </c>
      <c r="D56" s="9" t="s">
        <v>177</v>
      </c>
      <c r="E56" s="13">
        <v>39751</v>
      </c>
      <c r="F56" s="11" t="s">
        <v>178</v>
      </c>
      <c r="G56" s="12">
        <v>119</v>
      </c>
      <c r="H56" s="12">
        <v>5.03</v>
      </c>
      <c r="I56" s="12">
        <f>G56-H56-102.57</f>
        <v>11.400000000000006</v>
      </c>
      <c r="L56" s="12">
        <v>11.4</v>
      </c>
      <c r="N56" s="12">
        <v>11.4</v>
      </c>
      <c r="O56" s="13">
        <v>39765</v>
      </c>
      <c r="P56" s="13" t="s">
        <v>24</v>
      </c>
      <c r="Q56" s="13" t="s">
        <v>179</v>
      </c>
      <c r="R56" s="10" t="s">
        <v>14</v>
      </c>
    </row>
    <row r="57" spans="1:20" ht="26.4" x14ac:dyDescent="0.25">
      <c r="A57" s="9" t="s">
        <v>171</v>
      </c>
      <c r="B57" s="10" t="s">
        <v>33</v>
      </c>
      <c r="C57" s="51" t="s">
        <v>237</v>
      </c>
      <c r="D57" s="9" t="s">
        <v>238</v>
      </c>
      <c r="E57" s="13">
        <v>39935</v>
      </c>
      <c r="F57" s="11" t="s">
        <v>172</v>
      </c>
      <c r="G57" s="12">
        <f>110+54+55+110+55</f>
        <v>384</v>
      </c>
      <c r="H57" s="12">
        <f>28.4+13.71+14.2+28.4+14.2</f>
        <v>98.910000000000011</v>
      </c>
      <c r="I57" s="12">
        <f>G57-H57-(73.44+36.26+36.72+73.44+36.72)</f>
        <v>28.509999999999991</v>
      </c>
      <c r="L57" s="12">
        <v>28.51</v>
      </c>
      <c r="N57" s="12">
        <v>28.51</v>
      </c>
      <c r="O57" s="13">
        <v>39940</v>
      </c>
      <c r="P57" s="13" t="s">
        <v>47</v>
      </c>
      <c r="Q57" s="13" t="s">
        <v>248</v>
      </c>
      <c r="R57" s="22" t="s">
        <v>14</v>
      </c>
      <c r="S57" s="22"/>
      <c r="T57" s="9" t="s">
        <v>268</v>
      </c>
    </row>
    <row r="58" spans="1:20" x14ac:dyDescent="0.25">
      <c r="A58" s="9" t="s">
        <v>163</v>
      </c>
      <c r="B58" s="10" t="s">
        <v>33</v>
      </c>
      <c r="C58" s="56">
        <v>39871</v>
      </c>
      <c r="D58" s="9" t="s">
        <v>148</v>
      </c>
      <c r="E58" s="13">
        <v>39924</v>
      </c>
      <c r="F58" s="11">
        <v>26357</v>
      </c>
      <c r="G58" s="12">
        <v>118</v>
      </c>
      <c r="H58" s="12">
        <v>28.59</v>
      </c>
      <c r="I58" s="12">
        <f>G58-H58</f>
        <v>89.41</v>
      </c>
      <c r="L58" s="12">
        <v>89.41</v>
      </c>
      <c r="N58" s="12">
        <v>89.41</v>
      </c>
      <c r="O58" s="13">
        <v>40032</v>
      </c>
      <c r="P58" s="13" t="s">
        <v>47</v>
      </c>
      <c r="Q58" s="63" t="s">
        <v>267</v>
      </c>
      <c r="R58" s="22" t="s">
        <v>14</v>
      </c>
      <c r="S58" s="22"/>
      <c r="T58" s="9" t="s">
        <v>269</v>
      </c>
    </row>
    <row r="59" spans="1:20" x14ac:dyDescent="0.25">
      <c r="A59" s="9" t="s">
        <v>163</v>
      </c>
      <c r="B59" s="10" t="s">
        <v>33</v>
      </c>
      <c r="C59" s="13">
        <v>39892</v>
      </c>
      <c r="D59" s="9" t="s">
        <v>242</v>
      </c>
      <c r="E59" s="13">
        <v>39924</v>
      </c>
      <c r="F59" s="11">
        <v>26357</v>
      </c>
      <c r="G59" s="12">
        <v>121</v>
      </c>
      <c r="H59" s="44">
        <v>10.96</v>
      </c>
      <c r="I59" s="12">
        <f>G59-H59</f>
        <v>110.03999999999999</v>
      </c>
      <c r="J59" s="44"/>
      <c r="K59" s="44"/>
      <c r="L59" s="12">
        <v>110.04</v>
      </c>
      <c r="N59" s="12">
        <v>110.04</v>
      </c>
      <c r="O59" s="13">
        <v>40032</v>
      </c>
      <c r="P59" s="13" t="s">
        <v>47</v>
      </c>
      <c r="Q59" s="63" t="s">
        <v>270</v>
      </c>
      <c r="R59" s="10" t="s">
        <v>14</v>
      </c>
      <c r="T59" s="9" t="s">
        <v>271</v>
      </c>
    </row>
    <row r="60" spans="1:20" x14ac:dyDescent="0.25">
      <c r="A60" s="9" t="s">
        <v>163</v>
      </c>
      <c r="B60" s="10" t="s">
        <v>33</v>
      </c>
      <c r="C60" s="13">
        <v>39948</v>
      </c>
      <c r="D60" s="9" t="s">
        <v>148</v>
      </c>
      <c r="E60" s="13">
        <v>39989</v>
      </c>
      <c r="F60" s="11">
        <v>26357</v>
      </c>
      <c r="G60" s="12">
        <v>118</v>
      </c>
      <c r="H60" s="12">
        <v>28.59</v>
      </c>
      <c r="I60" s="12">
        <f>G60-H60</f>
        <v>89.41</v>
      </c>
      <c r="L60" s="12">
        <v>89.41</v>
      </c>
      <c r="N60" s="12">
        <v>89.41</v>
      </c>
      <c r="O60" s="13">
        <v>40032</v>
      </c>
      <c r="P60" s="13" t="s">
        <v>47</v>
      </c>
      <c r="Q60" s="63" t="s">
        <v>272</v>
      </c>
      <c r="R60" s="10" t="s">
        <v>14</v>
      </c>
      <c r="T60" s="9" t="s">
        <v>273</v>
      </c>
    </row>
    <row r="61" spans="1:20" ht="39.6" x14ac:dyDescent="0.25">
      <c r="A61" s="9" t="s">
        <v>243</v>
      </c>
      <c r="B61" s="10" t="s">
        <v>33</v>
      </c>
      <c r="C61" s="13">
        <v>39953</v>
      </c>
      <c r="D61" s="9" t="s">
        <v>244</v>
      </c>
      <c r="E61" s="13">
        <v>39953</v>
      </c>
      <c r="I61" s="12">
        <v>100</v>
      </c>
      <c r="L61" s="12">
        <v>100</v>
      </c>
      <c r="N61" s="12">
        <v>100</v>
      </c>
      <c r="O61" s="13">
        <v>39953</v>
      </c>
      <c r="P61" s="13" t="s">
        <v>47</v>
      </c>
      <c r="Q61" s="13" t="s">
        <v>247</v>
      </c>
      <c r="R61" s="10" t="s">
        <v>14</v>
      </c>
    </row>
    <row r="62" spans="1:20" x14ac:dyDescent="0.25">
      <c r="A62" s="9" t="s">
        <v>243</v>
      </c>
      <c r="B62" s="10" t="s">
        <v>33</v>
      </c>
      <c r="C62" s="13">
        <v>39955</v>
      </c>
      <c r="D62" s="9" t="s">
        <v>245</v>
      </c>
      <c r="E62" s="13">
        <v>39955</v>
      </c>
      <c r="I62" s="12">
        <v>45</v>
      </c>
      <c r="L62" s="12">
        <v>45</v>
      </c>
      <c r="N62" s="12">
        <v>45</v>
      </c>
      <c r="O62" s="13">
        <v>39953</v>
      </c>
      <c r="P62" s="13" t="s">
        <v>47</v>
      </c>
      <c r="Q62" s="13" t="s">
        <v>246</v>
      </c>
      <c r="R62" s="10" t="s">
        <v>14</v>
      </c>
    </row>
    <row r="63" spans="1:20" x14ac:dyDescent="0.25">
      <c r="A63" s="9" t="s">
        <v>243</v>
      </c>
      <c r="B63" s="10" t="s">
        <v>33</v>
      </c>
      <c r="C63" s="13">
        <v>39962</v>
      </c>
      <c r="D63" s="9" t="s">
        <v>276</v>
      </c>
      <c r="E63" s="13">
        <v>39962</v>
      </c>
      <c r="G63" s="12">
        <v>93.33</v>
      </c>
      <c r="H63" s="12">
        <f>G63-I63</f>
        <v>48.33</v>
      </c>
      <c r="I63" s="12">
        <v>45</v>
      </c>
      <c r="L63" s="12">
        <v>45</v>
      </c>
      <c r="N63" s="12">
        <v>45</v>
      </c>
      <c r="O63" s="13">
        <v>39962</v>
      </c>
      <c r="P63" s="13" t="s">
        <v>47</v>
      </c>
      <c r="Q63" s="13" t="s">
        <v>209</v>
      </c>
      <c r="R63" s="10" t="s">
        <v>14</v>
      </c>
    </row>
    <row r="64" spans="1:20" ht="26.4" x14ac:dyDescent="0.25">
      <c r="A64" s="9" t="s">
        <v>161</v>
      </c>
      <c r="B64" s="10" t="s">
        <v>52</v>
      </c>
      <c r="C64" s="13">
        <v>40058</v>
      </c>
      <c r="D64" s="9" t="s">
        <v>80</v>
      </c>
      <c r="E64" s="13">
        <v>40108</v>
      </c>
      <c r="F64" s="11">
        <v>46890</v>
      </c>
      <c r="G64" s="12">
        <v>129</v>
      </c>
      <c r="H64" s="12">
        <f>129-113.9</f>
        <v>15.099999999999994</v>
      </c>
      <c r="I64" s="12">
        <v>113.9</v>
      </c>
      <c r="J64" s="12">
        <v>0</v>
      </c>
      <c r="L64" s="12">
        <v>113.9</v>
      </c>
      <c r="N64" s="26">
        <v>113.9</v>
      </c>
      <c r="O64" s="13">
        <v>40148</v>
      </c>
      <c r="P64" s="13" t="s">
        <v>47</v>
      </c>
      <c r="Q64" s="13" t="s">
        <v>285</v>
      </c>
      <c r="R64" s="10" t="s">
        <v>14</v>
      </c>
    </row>
    <row r="65" spans="1:20" ht="26.4" x14ac:dyDescent="0.25">
      <c r="A65" s="9" t="s">
        <v>281</v>
      </c>
      <c r="B65" s="10" t="s">
        <v>33</v>
      </c>
      <c r="C65" s="13">
        <v>40068</v>
      </c>
      <c r="D65" s="9" t="s">
        <v>282</v>
      </c>
      <c r="E65" s="13">
        <v>40108</v>
      </c>
      <c r="F65" s="11">
        <v>126712</v>
      </c>
      <c r="G65" s="12">
        <v>145</v>
      </c>
      <c r="H65" s="12">
        <v>70</v>
      </c>
      <c r="I65" s="12">
        <f>G65-H65-J65</f>
        <v>25</v>
      </c>
      <c r="J65" s="12">
        <v>50</v>
      </c>
      <c r="L65" s="12">
        <v>25</v>
      </c>
      <c r="N65" s="26">
        <v>25</v>
      </c>
      <c r="O65" s="13">
        <v>40146</v>
      </c>
      <c r="P65" s="13" t="s">
        <v>24</v>
      </c>
      <c r="Q65" s="13" t="s">
        <v>285</v>
      </c>
      <c r="R65" s="10" t="s">
        <v>14</v>
      </c>
    </row>
    <row r="66" spans="1:20" ht="26.4" x14ac:dyDescent="0.25">
      <c r="A66" s="9" t="s">
        <v>281</v>
      </c>
      <c r="B66" s="10" t="s">
        <v>35</v>
      </c>
      <c r="C66" s="13">
        <v>40068</v>
      </c>
      <c r="D66" s="9" t="s">
        <v>282</v>
      </c>
      <c r="E66" s="13">
        <v>40108</v>
      </c>
      <c r="F66" s="11">
        <v>126713</v>
      </c>
      <c r="G66" s="12">
        <v>145</v>
      </c>
      <c r="H66" s="12">
        <v>70</v>
      </c>
      <c r="I66" s="12">
        <f>G66-H66-J66</f>
        <v>25</v>
      </c>
      <c r="J66" s="12">
        <v>50</v>
      </c>
      <c r="L66" s="12">
        <v>25</v>
      </c>
      <c r="N66" s="26">
        <v>25</v>
      </c>
      <c r="O66" s="13">
        <v>40146</v>
      </c>
      <c r="P66" s="13" t="s">
        <v>24</v>
      </c>
      <c r="Q66" s="13" t="s">
        <v>285</v>
      </c>
      <c r="R66" s="10" t="s">
        <v>14</v>
      </c>
    </row>
    <row r="67" spans="1:20" ht="26.4" x14ac:dyDescent="0.25">
      <c r="A67" s="9" t="s">
        <v>281</v>
      </c>
      <c r="B67" s="10" t="s">
        <v>284</v>
      </c>
      <c r="C67" s="13">
        <v>40068</v>
      </c>
      <c r="D67" s="9" t="s">
        <v>282</v>
      </c>
      <c r="E67" s="13">
        <v>40108</v>
      </c>
      <c r="F67" s="11">
        <v>126714</v>
      </c>
      <c r="G67" s="12">
        <v>145</v>
      </c>
      <c r="H67" s="12">
        <v>70</v>
      </c>
      <c r="I67" s="12">
        <f>G67-H67-J67</f>
        <v>25</v>
      </c>
      <c r="J67" s="12">
        <v>50</v>
      </c>
      <c r="L67" s="12">
        <v>25</v>
      </c>
      <c r="N67" s="26">
        <v>25</v>
      </c>
      <c r="O67" s="13">
        <v>40146</v>
      </c>
      <c r="P67" s="13" t="s">
        <v>24</v>
      </c>
      <c r="Q67" s="13" t="s">
        <v>285</v>
      </c>
      <c r="R67" s="10" t="s">
        <v>14</v>
      </c>
    </row>
    <row r="68" spans="1:20" ht="26.4" x14ac:dyDescent="0.25">
      <c r="A68" s="9" t="s">
        <v>161</v>
      </c>
      <c r="B68" s="10" t="s">
        <v>63</v>
      </c>
      <c r="C68" s="13">
        <v>40087</v>
      </c>
      <c r="D68" s="9" t="s">
        <v>286</v>
      </c>
      <c r="E68" s="13">
        <v>40108</v>
      </c>
      <c r="F68" s="11">
        <v>49089</v>
      </c>
      <c r="G68" s="12">
        <v>262</v>
      </c>
      <c r="H68" s="12">
        <f>G68-I68</f>
        <v>33.680000000000007</v>
      </c>
      <c r="I68" s="12">
        <f>171.52+J68</f>
        <v>228.32</v>
      </c>
      <c r="J68" s="12">
        <v>56.8</v>
      </c>
      <c r="L68" s="12">
        <v>171.52</v>
      </c>
      <c r="N68" s="26">
        <v>171.52</v>
      </c>
      <c r="O68" s="13">
        <v>40148</v>
      </c>
      <c r="P68" s="13" t="s">
        <v>47</v>
      </c>
      <c r="Q68" s="13" t="s">
        <v>285</v>
      </c>
      <c r="R68" s="10" t="s">
        <v>14</v>
      </c>
    </row>
    <row r="69" spans="1:20" x14ac:dyDescent="0.25">
      <c r="A69" s="9" t="s">
        <v>287</v>
      </c>
      <c r="B69" s="10" t="s">
        <v>63</v>
      </c>
      <c r="C69" s="13" t="s">
        <v>295</v>
      </c>
      <c r="D69" s="9" t="s">
        <v>288</v>
      </c>
      <c r="E69" s="13">
        <v>40136</v>
      </c>
      <c r="F69" s="11">
        <v>5080</v>
      </c>
      <c r="G69" s="12">
        <v>166</v>
      </c>
      <c r="J69" s="12">
        <v>149.4</v>
      </c>
      <c r="L69" s="12">
        <v>16.600000000000001</v>
      </c>
      <c r="N69" s="128">
        <v>117.9</v>
      </c>
      <c r="O69" s="111">
        <v>40205</v>
      </c>
      <c r="P69" s="111" t="s">
        <v>24</v>
      </c>
      <c r="Q69" s="111" t="s">
        <v>285</v>
      </c>
    </row>
    <row r="70" spans="1:20" x14ac:dyDescent="0.25">
      <c r="A70" s="9" t="s">
        <v>287</v>
      </c>
      <c r="B70" s="10" t="s">
        <v>284</v>
      </c>
      <c r="C70" s="13">
        <v>40116</v>
      </c>
      <c r="D70" s="9" t="s">
        <v>288</v>
      </c>
      <c r="E70" s="13">
        <v>40136</v>
      </c>
      <c r="F70" s="11">
        <v>5080</v>
      </c>
      <c r="G70" s="12">
        <v>231</v>
      </c>
      <c r="J70" s="12">
        <v>207.9</v>
      </c>
      <c r="L70" s="12">
        <v>23.1</v>
      </c>
      <c r="N70" s="129"/>
      <c r="O70" s="111"/>
      <c r="P70" s="111"/>
      <c r="Q70" s="111"/>
    </row>
    <row r="71" spans="1:20" x14ac:dyDescent="0.25">
      <c r="A71" s="9" t="s">
        <v>287</v>
      </c>
      <c r="B71" s="10" t="s">
        <v>284</v>
      </c>
      <c r="C71" s="13">
        <v>40130</v>
      </c>
      <c r="D71" s="9" t="s">
        <v>296</v>
      </c>
      <c r="F71" s="11">
        <v>5080</v>
      </c>
      <c r="G71" s="43">
        <f>J71+L71</f>
        <v>332</v>
      </c>
      <c r="J71" s="12">
        <v>253.8</v>
      </c>
      <c r="L71" s="12">
        <f>117.9-L69-L70</f>
        <v>78.200000000000017</v>
      </c>
      <c r="N71" s="130"/>
      <c r="O71" s="111"/>
      <c r="P71" s="111"/>
      <c r="Q71" s="111"/>
    </row>
    <row r="72" spans="1:20" ht="66" x14ac:dyDescent="0.25">
      <c r="A72" s="21" t="s">
        <v>163</v>
      </c>
      <c r="B72" s="22" t="s">
        <v>35</v>
      </c>
      <c r="C72" s="23">
        <v>40105</v>
      </c>
      <c r="D72" s="21" t="s">
        <v>322</v>
      </c>
      <c r="E72" s="23">
        <v>40309</v>
      </c>
      <c r="F72" s="24">
        <v>27965</v>
      </c>
      <c r="G72" s="26">
        <f>280+82</f>
        <v>362</v>
      </c>
      <c r="H72" s="26">
        <f>G72-I72</f>
        <v>37.720000000000027</v>
      </c>
      <c r="I72" s="26">
        <f>263.31+60.97</f>
        <v>324.27999999999997</v>
      </c>
      <c r="J72" s="26"/>
      <c r="K72" s="26"/>
      <c r="L72" s="26">
        <f>I72</f>
        <v>324.27999999999997</v>
      </c>
      <c r="M72" s="40"/>
      <c r="N72" s="65">
        <v>324.27999999999997</v>
      </c>
      <c r="O72" s="66" t="s">
        <v>325</v>
      </c>
      <c r="P72" s="66" t="s">
        <v>326</v>
      </c>
      <c r="Q72" s="66" t="s">
        <v>333</v>
      </c>
      <c r="R72" s="67" t="s">
        <v>327</v>
      </c>
      <c r="S72" s="67"/>
      <c r="T72" s="67" t="s">
        <v>330</v>
      </c>
    </row>
    <row r="73" spans="1:20" ht="26.4" x14ac:dyDescent="0.25">
      <c r="A73" s="9" t="s">
        <v>163</v>
      </c>
      <c r="B73" s="10" t="s">
        <v>33</v>
      </c>
      <c r="C73" s="13">
        <v>40123</v>
      </c>
      <c r="D73" s="9" t="s">
        <v>301</v>
      </c>
      <c r="E73" s="13">
        <v>40200</v>
      </c>
      <c r="F73" s="11">
        <v>26357</v>
      </c>
      <c r="G73" s="43">
        <f>217+22+96+23</f>
        <v>358</v>
      </c>
      <c r="H73" s="12">
        <f>G73-J73-L73</f>
        <v>72.73</v>
      </c>
      <c r="I73" s="12">
        <f>G73-H73</f>
        <v>285.27</v>
      </c>
      <c r="J73" s="12">
        <v>187.6</v>
      </c>
      <c r="L73" s="12">
        <f>22+71.18+4.49</f>
        <v>97.67</v>
      </c>
      <c r="N73" s="59">
        <v>97.67</v>
      </c>
      <c r="O73" s="60">
        <v>40208</v>
      </c>
      <c r="P73" s="60" t="s">
        <v>10</v>
      </c>
      <c r="Q73" s="63" t="s">
        <v>320</v>
      </c>
      <c r="R73" s="10" t="s">
        <v>14</v>
      </c>
    </row>
    <row r="74" spans="1:20" ht="26.4" x14ac:dyDescent="0.25">
      <c r="A74" s="9" t="s">
        <v>298</v>
      </c>
      <c r="B74" s="10" t="s">
        <v>33</v>
      </c>
      <c r="C74" s="13">
        <v>40131</v>
      </c>
      <c r="D74" s="9" t="s">
        <v>299</v>
      </c>
      <c r="E74" s="13">
        <v>40177</v>
      </c>
      <c r="F74" s="11">
        <v>9986432087</v>
      </c>
      <c r="G74" s="12">
        <f>16+43.3+75.6+52+63.1</f>
        <v>249.99999999999997</v>
      </c>
      <c r="H74" s="12">
        <v>125.77</v>
      </c>
      <c r="L74" s="12">
        <f>G74-H74</f>
        <v>124.22999999999998</v>
      </c>
      <c r="Q74" s="13"/>
    </row>
    <row r="75" spans="1:20" x14ac:dyDescent="0.25">
      <c r="A75" s="9" t="s">
        <v>163</v>
      </c>
      <c r="B75" s="10" t="s">
        <v>33</v>
      </c>
      <c r="C75" s="13">
        <v>40165</v>
      </c>
      <c r="D75" s="9" t="s">
        <v>300</v>
      </c>
      <c r="E75" s="13">
        <v>40165</v>
      </c>
      <c r="G75" s="12">
        <v>22</v>
      </c>
      <c r="H75" s="12">
        <v>2.3199999999999998</v>
      </c>
      <c r="J75" s="12">
        <v>19.68</v>
      </c>
      <c r="L75" s="12">
        <v>0</v>
      </c>
      <c r="N75" s="12">
        <v>0</v>
      </c>
      <c r="O75" s="13" t="s">
        <v>321</v>
      </c>
      <c r="P75" s="13" t="s">
        <v>321</v>
      </c>
      <c r="Q75" s="63" t="s">
        <v>321</v>
      </c>
      <c r="R75" s="10" t="s">
        <v>321</v>
      </c>
    </row>
    <row r="76" spans="1:20" x14ac:dyDescent="0.25">
      <c r="A76" s="9" t="s">
        <v>287</v>
      </c>
      <c r="B76" s="10" t="s">
        <v>35</v>
      </c>
      <c r="C76" s="13">
        <v>40228</v>
      </c>
      <c r="D76" s="9" t="s">
        <v>302</v>
      </c>
      <c r="E76" s="13">
        <v>40266</v>
      </c>
      <c r="F76" s="11">
        <v>5080</v>
      </c>
      <c r="G76" s="12">
        <v>252</v>
      </c>
      <c r="J76" s="12">
        <v>226.8</v>
      </c>
      <c r="L76" s="12">
        <f>G76-J76</f>
        <v>25.199999999999989</v>
      </c>
      <c r="N76" s="113">
        <v>179.4</v>
      </c>
      <c r="O76" s="131">
        <v>40273</v>
      </c>
      <c r="P76" s="122" t="s">
        <v>24</v>
      </c>
      <c r="Q76" s="122" t="s">
        <v>285</v>
      </c>
    </row>
    <row r="77" spans="1:20" x14ac:dyDescent="0.25">
      <c r="A77" s="9" t="s">
        <v>287</v>
      </c>
      <c r="B77" s="10" t="s">
        <v>35</v>
      </c>
      <c r="C77" s="13">
        <v>40247</v>
      </c>
      <c r="D77" s="9" t="s">
        <v>302</v>
      </c>
      <c r="E77" s="13">
        <v>40266</v>
      </c>
      <c r="F77" s="11">
        <v>5080</v>
      </c>
      <c r="G77" s="12">
        <v>170</v>
      </c>
      <c r="J77" s="12">
        <v>108</v>
      </c>
      <c r="L77" s="12">
        <f>G77-J77</f>
        <v>62</v>
      </c>
      <c r="N77" s="114"/>
      <c r="O77" s="132"/>
      <c r="P77" s="123"/>
      <c r="Q77" s="123"/>
    </row>
    <row r="78" spans="1:20" x14ac:dyDescent="0.25">
      <c r="A78" s="9" t="s">
        <v>287</v>
      </c>
      <c r="B78" s="10" t="s">
        <v>35</v>
      </c>
      <c r="C78" s="13">
        <v>40249</v>
      </c>
      <c r="D78" s="9" t="s">
        <v>302</v>
      </c>
      <c r="E78" s="13">
        <v>40266</v>
      </c>
      <c r="F78" s="11">
        <v>5080</v>
      </c>
      <c r="G78" s="12">
        <f>170+170+240</f>
        <v>580</v>
      </c>
      <c r="J78" s="61">
        <v>522</v>
      </c>
      <c r="K78" s="61"/>
      <c r="L78" s="61">
        <f>N76-L76-L77-L79</f>
        <v>58.000000000000028</v>
      </c>
      <c r="N78" s="114"/>
      <c r="O78" s="132"/>
      <c r="P78" s="123"/>
      <c r="Q78" s="123"/>
    </row>
    <row r="79" spans="1:20" x14ac:dyDescent="0.25">
      <c r="A79" s="9" t="s">
        <v>287</v>
      </c>
      <c r="B79" s="10" t="s">
        <v>33</v>
      </c>
      <c r="C79" s="13">
        <v>40246</v>
      </c>
      <c r="D79" s="9" t="s">
        <v>302</v>
      </c>
      <c r="E79" s="13">
        <v>40266</v>
      </c>
      <c r="F79" s="11">
        <v>5080</v>
      </c>
      <c r="G79" s="12">
        <f>80+90+67+105</f>
        <v>342</v>
      </c>
      <c r="J79" s="12">
        <v>307.8</v>
      </c>
      <c r="L79" s="12">
        <f>G79-J79</f>
        <v>34.199999999999989</v>
      </c>
      <c r="N79" s="115"/>
      <c r="O79" s="133"/>
      <c r="P79" s="124"/>
      <c r="Q79" s="124"/>
    </row>
    <row r="80" spans="1:20" x14ac:dyDescent="0.25">
      <c r="A80" s="9" t="s">
        <v>175</v>
      </c>
      <c r="B80" s="10" t="s">
        <v>284</v>
      </c>
      <c r="C80" s="13">
        <v>40202</v>
      </c>
      <c r="D80" s="9" t="s">
        <v>303</v>
      </c>
      <c r="E80" s="13">
        <v>40240</v>
      </c>
      <c r="F80" s="11" t="s">
        <v>178</v>
      </c>
      <c r="G80" s="12">
        <v>182</v>
      </c>
      <c r="H80" s="12">
        <v>11.15</v>
      </c>
      <c r="I80" s="12">
        <f>G80-H80</f>
        <v>170.85</v>
      </c>
      <c r="L80" s="12">
        <f>I80</f>
        <v>170.85</v>
      </c>
      <c r="N80" s="12">
        <v>170.85</v>
      </c>
      <c r="O80" s="13">
        <v>40299</v>
      </c>
      <c r="P80" s="13" t="s">
        <v>24</v>
      </c>
      <c r="Q80" s="13" t="s">
        <v>308</v>
      </c>
      <c r="R80" s="10" t="s">
        <v>14</v>
      </c>
    </row>
    <row r="81" spans="1:20" ht="26.4" x14ac:dyDescent="0.25">
      <c r="A81" s="9" t="s">
        <v>171</v>
      </c>
      <c r="B81" s="10" t="s">
        <v>33</v>
      </c>
      <c r="C81" s="10" t="s">
        <v>304</v>
      </c>
      <c r="D81" s="9" t="s">
        <v>305</v>
      </c>
      <c r="E81" s="13">
        <v>40295</v>
      </c>
      <c r="F81" s="11" t="s">
        <v>172</v>
      </c>
      <c r="G81" s="44">
        <f>110</f>
        <v>110</v>
      </c>
      <c r="H81" s="12">
        <v>14.2</v>
      </c>
      <c r="J81" s="62" t="s">
        <v>306</v>
      </c>
      <c r="K81" s="62"/>
      <c r="M81" s="38">
        <v>95.8</v>
      </c>
      <c r="N81" s="12">
        <v>95.8</v>
      </c>
      <c r="O81" s="13">
        <v>40299</v>
      </c>
      <c r="P81" s="13" t="s">
        <v>24</v>
      </c>
      <c r="Q81" s="13" t="s">
        <v>307</v>
      </c>
      <c r="R81" s="10" t="s">
        <v>14</v>
      </c>
    </row>
    <row r="82" spans="1:20" x14ac:dyDescent="0.25">
      <c r="A82" s="9" t="s">
        <v>175</v>
      </c>
      <c r="B82" s="10" t="s">
        <v>35</v>
      </c>
      <c r="C82" s="13">
        <v>40227</v>
      </c>
      <c r="D82" s="9" t="s">
        <v>303</v>
      </c>
      <c r="E82" s="13">
        <v>40296</v>
      </c>
      <c r="F82" s="11" t="s">
        <v>309</v>
      </c>
      <c r="G82" s="12">
        <v>182</v>
      </c>
      <c r="H82" s="12">
        <v>11.15</v>
      </c>
      <c r="I82" s="12">
        <f>G82-H82</f>
        <v>170.85</v>
      </c>
      <c r="L82" s="12">
        <f>I82</f>
        <v>170.85</v>
      </c>
      <c r="N82" s="12">
        <v>170.85</v>
      </c>
      <c r="O82" s="13">
        <v>40299</v>
      </c>
      <c r="P82" s="13" t="s">
        <v>24</v>
      </c>
      <c r="Q82" s="13" t="s">
        <v>310</v>
      </c>
      <c r="R82" s="10" t="s">
        <v>14</v>
      </c>
    </row>
    <row r="83" spans="1:20" x14ac:dyDescent="0.25">
      <c r="A83" s="9" t="s">
        <v>287</v>
      </c>
      <c r="B83" s="10" t="s">
        <v>35</v>
      </c>
      <c r="C83" s="13">
        <v>40275</v>
      </c>
      <c r="D83" s="9" t="s">
        <v>311</v>
      </c>
      <c r="E83" s="13">
        <v>40294</v>
      </c>
      <c r="F83" s="11">
        <v>5080</v>
      </c>
      <c r="G83" s="12">
        <f>150+150+150</f>
        <v>450</v>
      </c>
      <c r="J83" s="12">
        <v>405</v>
      </c>
      <c r="L83" s="12">
        <f>G83-J83</f>
        <v>45</v>
      </c>
      <c r="N83" s="12">
        <v>45</v>
      </c>
      <c r="O83" s="13">
        <v>40299</v>
      </c>
      <c r="P83" s="13" t="s">
        <v>24</v>
      </c>
      <c r="Q83" s="13" t="s">
        <v>285</v>
      </c>
      <c r="R83" s="69" t="s">
        <v>14</v>
      </c>
      <c r="S83" s="69"/>
    </row>
    <row r="84" spans="1:20" x14ac:dyDescent="0.25">
      <c r="A84" s="9" t="s">
        <v>312</v>
      </c>
      <c r="B84" s="10" t="s">
        <v>284</v>
      </c>
      <c r="C84" s="10" t="s">
        <v>313</v>
      </c>
      <c r="D84" s="9" t="s">
        <v>314</v>
      </c>
      <c r="E84" s="13">
        <v>40269</v>
      </c>
      <c r="F84" s="11" t="s">
        <v>178</v>
      </c>
      <c r="G84" s="12">
        <v>241.29</v>
      </c>
      <c r="L84" s="12">
        <v>241.29</v>
      </c>
      <c r="N84" s="12">
        <v>241.29</v>
      </c>
      <c r="O84" s="13">
        <v>40312</v>
      </c>
      <c r="P84" s="13" t="s">
        <v>24</v>
      </c>
      <c r="Q84" s="13" t="s">
        <v>315</v>
      </c>
      <c r="R84" s="10" t="s">
        <v>316</v>
      </c>
    </row>
    <row r="85" spans="1:20" x14ac:dyDescent="0.25">
      <c r="A85" s="9" t="s">
        <v>163</v>
      </c>
      <c r="B85" s="10" t="s">
        <v>33</v>
      </c>
      <c r="C85" s="13">
        <v>40204</v>
      </c>
      <c r="D85" s="9" t="s">
        <v>317</v>
      </c>
      <c r="E85" s="13">
        <v>40309</v>
      </c>
      <c r="F85" s="11">
        <v>26357</v>
      </c>
      <c r="G85" s="12">
        <f>125+22+98</f>
        <v>245</v>
      </c>
      <c r="H85" s="12">
        <f>G85-I85</f>
        <v>37.919999999999987</v>
      </c>
      <c r="I85" s="12">
        <f>113.9+22+71.18</f>
        <v>207.08</v>
      </c>
      <c r="L85" s="12">
        <v>207.08</v>
      </c>
      <c r="N85" s="12">
        <v>207.08</v>
      </c>
      <c r="O85" s="13">
        <v>40323</v>
      </c>
      <c r="P85" s="13" t="s">
        <v>24</v>
      </c>
      <c r="Q85" s="125" t="s">
        <v>323</v>
      </c>
      <c r="R85" s="10" t="s">
        <v>14</v>
      </c>
      <c r="T85" s="9" t="s">
        <v>329</v>
      </c>
    </row>
    <row r="86" spans="1:20" x14ac:dyDescent="0.25">
      <c r="A86" s="9" t="s">
        <v>163</v>
      </c>
      <c r="B86" s="10" t="s">
        <v>33</v>
      </c>
      <c r="C86" s="13">
        <v>40212</v>
      </c>
      <c r="D86" s="9" t="s">
        <v>318</v>
      </c>
      <c r="E86" s="13">
        <v>40309</v>
      </c>
      <c r="F86" s="11">
        <v>26357</v>
      </c>
      <c r="G86" s="12">
        <v>125</v>
      </c>
      <c r="H86" s="12">
        <f>G86-I86</f>
        <v>11.099999999999994</v>
      </c>
      <c r="I86" s="12">
        <v>113.9</v>
      </c>
      <c r="L86" s="12">
        <v>113.9</v>
      </c>
      <c r="N86" s="12">
        <v>113.9</v>
      </c>
      <c r="O86" s="13">
        <v>40323</v>
      </c>
      <c r="P86" s="13" t="s">
        <v>24</v>
      </c>
      <c r="Q86" s="126"/>
      <c r="R86" s="10" t="s">
        <v>14</v>
      </c>
    </row>
    <row r="87" spans="1:20" x14ac:dyDescent="0.25">
      <c r="A87" s="9" t="s">
        <v>163</v>
      </c>
      <c r="B87" s="10" t="s">
        <v>33</v>
      </c>
      <c r="C87" s="13">
        <v>40283</v>
      </c>
      <c r="D87" s="9" t="s">
        <v>319</v>
      </c>
      <c r="E87" s="13">
        <v>40309</v>
      </c>
      <c r="F87" s="11">
        <v>26357</v>
      </c>
      <c r="G87" s="12">
        <f>185+22+98</f>
        <v>305</v>
      </c>
      <c r="I87" s="12">
        <f>171.52+22+76.51</f>
        <v>270.03000000000003</v>
      </c>
      <c r="L87" s="12">
        <v>270.02999999999997</v>
      </c>
      <c r="N87" s="12">
        <v>270.02999999999997</v>
      </c>
      <c r="O87" s="13">
        <v>40323</v>
      </c>
      <c r="P87" s="13" t="s">
        <v>24</v>
      </c>
      <c r="Q87" s="127"/>
      <c r="R87" s="10" t="s">
        <v>14</v>
      </c>
    </row>
    <row r="88" spans="1:20" x14ac:dyDescent="0.25">
      <c r="A88" s="9" t="s">
        <v>312</v>
      </c>
      <c r="B88" s="10" t="s">
        <v>284</v>
      </c>
      <c r="C88" s="10" t="s">
        <v>324</v>
      </c>
      <c r="D88" s="9" t="s">
        <v>314</v>
      </c>
      <c r="E88" s="13">
        <v>40392</v>
      </c>
      <c r="F88" s="11" t="s">
        <v>178</v>
      </c>
      <c r="G88" s="12">
        <f>L88+H88</f>
        <v>155.53</v>
      </c>
      <c r="H88" s="12">
        <f>4*0.53</f>
        <v>2.12</v>
      </c>
      <c r="I88" s="12">
        <f>L88+H88</f>
        <v>155.53</v>
      </c>
      <c r="L88" s="12">
        <f>5+49.47+49.47+49.47</f>
        <v>153.41</v>
      </c>
    </row>
    <row r="89" spans="1:20" x14ac:dyDescent="0.25">
      <c r="A89" s="9" t="s">
        <v>163</v>
      </c>
      <c r="B89" s="10" t="s">
        <v>33</v>
      </c>
      <c r="C89" s="13">
        <v>40388</v>
      </c>
      <c r="D89" s="9" t="s">
        <v>328</v>
      </c>
      <c r="E89" s="13">
        <v>40409</v>
      </c>
      <c r="F89" s="11">
        <v>26357</v>
      </c>
      <c r="G89" s="12">
        <v>154</v>
      </c>
      <c r="H89" s="12">
        <v>44.4</v>
      </c>
      <c r="I89" s="12">
        <f>G89-H89</f>
        <v>109.6</v>
      </c>
      <c r="L89" s="12">
        <f>I89</f>
        <v>109.6</v>
      </c>
      <c r="N89" s="12">
        <v>109.6</v>
      </c>
      <c r="O89" s="13">
        <v>40451</v>
      </c>
      <c r="P89" s="13" t="s">
        <v>24</v>
      </c>
      <c r="Q89" s="63" t="s">
        <v>334</v>
      </c>
      <c r="R89" s="10" t="s">
        <v>14</v>
      </c>
    </row>
    <row r="90" spans="1:20" x14ac:dyDescent="0.25">
      <c r="A90" s="9" t="s">
        <v>287</v>
      </c>
      <c r="B90" s="10" t="s">
        <v>35</v>
      </c>
      <c r="C90" s="13">
        <v>40354</v>
      </c>
      <c r="D90" s="9" t="s">
        <v>331</v>
      </c>
      <c r="E90" s="13">
        <v>40386</v>
      </c>
      <c r="F90" s="11">
        <v>5080</v>
      </c>
      <c r="G90" s="12">
        <v>777</v>
      </c>
      <c r="J90" s="12">
        <v>238.2</v>
      </c>
      <c r="L90" s="12">
        <f>G90-J90</f>
        <v>538.79999999999995</v>
      </c>
      <c r="N90" s="12">
        <v>538.79999999999995</v>
      </c>
      <c r="O90" s="13">
        <v>40451</v>
      </c>
      <c r="P90" s="13" t="s">
        <v>24</v>
      </c>
      <c r="Q90" s="63" t="s">
        <v>332</v>
      </c>
    </row>
    <row r="91" spans="1:20" ht="26.4" x14ac:dyDescent="0.25">
      <c r="A91" s="68" t="s">
        <v>161</v>
      </c>
      <c r="B91" s="69" t="s">
        <v>284</v>
      </c>
      <c r="C91" s="13">
        <v>40459</v>
      </c>
      <c r="D91" s="68" t="s">
        <v>336</v>
      </c>
      <c r="E91" s="13">
        <v>40499</v>
      </c>
      <c r="F91" s="11">
        <v>49090</v>
      </c>
      <c r="G91" s="12">
        <f>194+32+25.5</f>
        <v>251.5</v>
      </c>
      <c r="H91" s="12">
        <f>G91-181.57-J91</f>
        <v>23.960000000000008</v>
      </c>
      <c r="I91" s="12">
        <f>G91-H91</f>
        <v>227.54</v>
      </c>
      <c r="J91" s="12">
        <f>20.47+25.5</f>
        <v>45.97</v>
      </c>
      <c r="L91" s="12">
        <f>I91-J91</f>
        <v>181.57</v>
      </c>
      <c r="N91" s="12">
        <v>181.57</v>
      </c>
      <c r="O91" s="13">
        <v>40508</v>
      </c>
      <c r="P91" s="72" t="s">
        <v>24</v>
      </c>
      <c r="Q91" s="71" t="s">
        <v>337</v>
      </c>
      <c r="R91" s="69" t="s">
        <v>14</v>
      </c>
      <c r="S91" s="69"/>
    </row>
    <row r="92" spans="1:20" x14ac:dyDescent="0.25">
      <c r="A92" s="68" t="s">
        <v>163</v>
      </c>
      <c r="B92" s="69" t="s">
        <v>33</v>
      </c>
      <c r="C92" s="13">
        <v>40469</v>
      </c>
      <c r="D92" s="68" t="s">
        <v>328</v>
      </c>
      <c r="E92" s="13">
        <v>40500</v>
      </c>
      <c r="F92" s="11">
        <v>26357</v>
      </c>
      <c r="G92" s="12">
        <v>143</v>
      </c>
      <c r="H92" s="12">
        <f>5.47+21.49</f>
        <v>26.959999999999997</v>
      </c>
      <c r="I92" s="12">
        <f>G92-H92</f>
        <v>116.04</v>
      </c>
      <c r="L92" s="70">
        <v>116.04</v>
      </c>
      <c r="N92" s="74">
        <v>116.04</v>
      </c>
      <c r="O92" s="13">
        <v>40508</v>
      </c>
      <c r="P92" s="72" t="s">
        <v>24</v>
      </c>
      <c r="Q92" s="71" t="s">
        <v>338</v>
      </c>
      <c r="R92" s="69" t="s">
        <v>14</v>
      </c>
      <c r="S92" s="69"/>
    </row>
    <row r="93" spans="1:20" x14ac:dyDescent="0.25">
      <c r="A93" s="9" t="s">
        <v>287</v>
      </c>
      <c r="B93" s="10" t="s">
        <v>33</v>
      </c>
      <c r="C93" s="13">
        <v>40480</v>
      </c>
      <c r="D93" s="9" t="s">
        <v>302</v>
      </c>
      <c r="E93" s="13">
        <v>40506</v>
      </c>
      <c r="F93" s="11">
        <v>5080</v>
      </c>
      <c r="G93" s="12">
        <f>60+90</f>
        <v>150</v>
      </c>
      <c r="J93" s="12">
        <f>54+81</f>
        <v>135</v>
      </c>
      <c r="L93" s="12">
        <f>G93-J93</f>
        <v>15</v>
      </c>
      <c r="N93" s="113">
        <v>40.700000000000003</v>
      </c>
      <c r="O93" s="122">
        <v>40517</v>
      </c>
      <c r="P93" s="113" t="s">
        <v>24</v>
      </c>
      <c r="Q93" s="113" t="s">
        <v>339</v>
      </c>
      <c r="R93" s="69" t="s">
        <v>14</v>
      </c>
      <c r="S93" s="69"/>
    </row>
    <row r="94" spans="1:20" x14ac:dyDescent="0.25">
      <c r="A94" s="9" t="s">
        <v>287</v>
      </c>
      <c r="B94" s="10" t="s">
        <v>63</v>
      </c>
      <c r="C94" s="13">
        <v>40504</v>
      </c>
      <c r="D94" s="9" t="s">
        <v>302</v>
      </c>
      <c r="E94" s="13">
        <v>40506</v>
      </c>
      <c r="F94" s="11">
        <v>5080</v>
      </c>
      <c r="G94" s="12">
        <f>66+40</f>
        <v>106</v>
      </c>
      <c r="J94" s="12">
        <f>59.4+36</f>
        <v>95.4</v>
      </c>
      <c r="L94" s="12">
        <f>G94-J94</f>
        <v>10.599999999999994</v>
      </c>
      <c r="N94" s="114"/>
      <c r="O94" s="123"/>
      <c r="P94" s="114"/>
      <c r="Q94" s="114"/>
      <c r="R94" s="69" t="s">
        <v>14</v>
      </c>
      <c r="S94" s="69"/>
    </row>
    <row r="95" spans="1:20" x14ac:dyDescent="0.25">
      <c r="A95" s="9" t="s">
        <v>287</v>
      </c>
      <c r="B95" s="10" t="s">
        <v>284</v>
      </c>
      <c r="C95" s="13">
        <v>40504</v>
      </c>
      <c r="D95" s="9" t="s">
        <v>302</v>
      </c>
      <c r="E95" s="13">
        <v>40506</v>
      </c>
      <c r="F95" s="11">
        <v>5080</v>
      </c>
      <c r="G95" s="12">
        <f>66+40+45</f>
        <v>151</v>
      </c>
      <c r="J95" s="12">
        <f>59.4+36+40.5</f>
        <v>135.9</v>
      </c>
      <c r="L95" s="12">
        <f>G95-J95</f>
        <v>15.099999999999994</v>
      </c>
      <c r="N95" s="115"/>
      <c r="O95" s="124"/>
      <c r="P95" s="115"/>
      <c r="Q95" s="115"/>
      <c r="R95" s="69" t="s">
        <v>14</v>
      </c>
      <c r="S95" s="69"/>
    </row>
    <row r="96" spans="1:20" x14ac:dyDescent="0.25">
      <c r="A96" s="68" t="s">
        <v>175</v>
      </c>
      <c r="B96" s="69" t="s">
        <v>35</v>
      </c>
      <c r="C96" s="13">
        <v>40536</v>
      </c>
      <c r="D96" s="68" t="s">
        <v>340</v>
      </c>
      <c r="E96" s="13">
        <v>40536</v>
      </c>
      <c r="F96" s="73" t="s">
        <v>309</v>
      </c>
      <c r="G96" s="12">
        <v>127</v>
      </c>
      <c r="H96" s="12">
        <v>5.73</v>
      </c>
      <c r="I96" s="12">
        <f>G96-H96</f>
        <v>121.27</v>
      </c>
      <c r="L96" s="12">
        <v>121.27</v>
      </c>
      <c r="N96" s="12">
        <v>121.27</v>
      </c>
      <c r="O96" s="13">
        <v>40616</v>
      </c>
      <c r="P96" s="72" t="s">
        <v>24</v>
      </c>
      <c r="Q96" s="71" t="s">
        <v>341</v>
      </c>
      <c r="R96" s="69" t="s">
        <v>14</v>
      </c>
      <c r="S96" s="69"/>
    </row>
    <row r="97" spans="1:19" x14ac:dyDescent="0.25">
      <c r="A97" s="9" t="s">
        <v>163</v>
      </c>
      <c r="B97" s="10" t="s">
        <v>33</v>
      </c>
      <c r="C97" s="13">
        <v>40557</v>
      </c>
      <c r="D97" s="9" t="s">
        <v>328</v>
      </c>
      <c r="E97" s="13">
        <v>40605</v>
      </c>
      <c r="F97" s="11">
        <v>26357</v>
      </c>
      <c r="G97" s="12">
        <f>98+48</f>
        <v>146</v>
      </c>
      <c r="I97" s="12">
        <f>G97-116.04</f>
        <v>29.959999999999994</v>
      </c>
      <c r="L97" s="12">
        <v>116.04</v>
      </c>
      <c r="N97" s="12">
        <v>116.04</v>
      </c>
      <c r="O97" s="13">
        <v>40616</v>
      </c>
      <c r="P97" s="13" t="s">
        <v>47</v>
      </c>
      <c r="Q97" s="71" t="s">
        <v>342</v>
      </c>
      <c r="R97" s="69" t="s">
        <v>14</v>
      </c>
      <c r="S97" s="69"/>
    </row>
    <row r="98" spans="1:19" ht="26.4" x14ac:dyDescent="0.25">
      <c r="A98" s="68" t="s">
        <v>161</v>
      </c>
      <c r="B98" s="69" t="s">
        <v>52</v>
      </c>
      <c r="C98" s="13">
        <v>40590</v>
      </c>
      <c r="D98" s="68" t="s">
        <v>348</v>
      </c>
      <c r="E98" s="13">
        <v>40618</v>
      </c>
      <c r="F98" s="11">
        <v>46890</v>
      </c>
      <c r="G98" s="12">
        <v>143</v>
      </c>
      <c r="I98" s="12">
        <v>121.27</v>
      </c>
      <c r="L98" s="12">
        <v>121.27</v>
      </c>
      <c r="N98" s="12">
        <v>121.27</v>
      </c>
      <c r="O98" s="13">
        <v>40663</v>
      </c>
      <c r="P98" s="72" t="s">
        <v>24</v>
      </c>
      <c r="Q98" s="71" t="s">
        <v>349</v>
      </c>
      <c r="R98" s="69" t="s">
        <v>14</v>
      </c>
      <c r="S98" s="69"/>
    </row>
    <row r="99" spans="1:19" ht="66" x14ac:dyDescent="0.25">
      <c r="A99" s="9" t="s">
        <v>352</v>
      </c>
      <c r="B99" s="10" t="s">
        <v>35</v>
      </c>
      <c r="C99" s="9" t="s">
        <v>350</v>
      </c>
      <c r="D99" s="9" t="s">
        <v>340</v>
      </c>
      <c r="E99" s="13">
        <v>40684</v>
      </c>
      <c r="F99" s="11" t="s">
        <v>351</v>
      </c>
      <c r="G99" s="12">
        <f>I99+H99</f>
        <v>1681.75</v>
      </c>
      <c r="H99" s="12">
        <f>201.17+73.48+40.26</f>
        <v>314.90999999999997</v>
      </c>
      <c r="I99" s="12">
        <f>728.33+389.27+249.24</f>
        <v>1366.84</v>
      </c>
      <c r="L99" s="12">
        <f>I99</f>
        <v>1366.84</v>
      </c>
      <c r="N99" s="12">
        <v>1366.84</v>
      </c>
      <c r="O99" s="13">
        <v>40740</v>
      </c>
      <c r="P99" s="13" t="s">
        <v>24</v>
      </c>
      <c r="Q99" s="64" t="s">
        <v>353</v>
      </c>
      <c r="R99" s="10" t="s">
        <v>14</v>
      </c>
    </row>
    <row r="100" spans="1:19" x14ac:dyDescent="0.25">
      <c r="A100" s="9" t="s">
        <v>163</v>
      </c>
      <c r="B100" s="10" t="s">
        <v>33</v>
      </c>
      <c r="C100" s="10" t="s">
        <v>354</v>
      </c>
      <c r="D100" s="9" t="s">
        <v>355</v>
      </c>
      <c r="E100" s="13">
        <v>40730</v>
      </c>
      <c r="F100" s="11">
        <v>26357</v>
      </c>
      <c r="G100" s="12">
        <v>291</v>
      </c>
      <c r="H100" s="12">
        <f>G100-L100</f>
        <v>47.949999999999989</v>
      </c>
      <c r="I100" s="12">
        <f>L100</f>
        <v>243.05</v>
      </c>
      <c r="L100" s="12">
        <f>121.27+121.78</f>
        <v>243.05</v>
      </c>
      <c r="N100" s="12">
        <v>243.05</v>
      </c>
      <c r="O100" s="13">
        <v>40740</v>
      </c>
      <c r="P100" s="13" t="s">
        <v>24</v>
      </c>
      <c r="Q100" s="63" t="s">
        <v>356</v>
      </c>
      <c r="R100" s="10" t="s">
        <v>14</v>
      </c>
    </row>
    <row r="101" spans="1:19" x14ac:dyDescent="0.25">
      <c r="A101" s="9" t="s">
        <v>287</v>
      </c>
      <c r="B101" s="10" t="s">
        <v>33</v>
      </c>
      <c r="C101" s="13">
        <v>40669</v>
      </c>
      <c r="D101" s="9" t="s">
        <v>357</v>
      </c>
      <c r="E101" s="13">
        <v>40688</v>
      </c>
      <c r="F101" s="11">
        <v>5080</v>
      </c>
      <c r="G101" s="12">
        <f>62+93+69</f>
        <v>224</v>
      </c>
      <c r="J101" s="12">
        <v>201.6</v>
      </c>
      <c r="L101" s="12">
        <f>G101-J101</f>
        <v>22.400000000000006</v>
      </c>
      <c r="M101" s="38">
        <v>2</v>
      </c>
      <c r="N101" s="113">
        <v>63.6</v>
      </c>
      <c r="O101" s="13">
        <v>40790</v>
      </c>
      <c r="P101" s="113" t="s">
        <v>24</v>
      </c>
      <c r="Q101" s="113" t="s">
        <v>360</v>
      </c>
      <c r="R101" s="10" t="s">
        <v>14</v>
      </c>
    </row>
    <row r="102" spans="1:19" x14ac:dyDescent="0.25">
      <c r="A102" s="9" t="s">
        <v>287</v>
      </c>
      <c r="B102" s="10" t="s">
        <v>63</v>
      </c>
      <c r="C102" s="13">
        <v>40704</v>
      </c>
      <c r="D102" s="9" t="s">
        <v>357</v>
      </c>
      <c r="F102" s="11">
        <v>5080</v>
      </c>
      <c r="G102" s="12">
        <f>62+48+69+41</f>
        <v>220</v>
      </c>
      <c r="J102" s="74">
        <f>55.8+43.2+62.1+36.9</f>
        <v>198</v>
      </c>
      <c r="K102" s="74"/>
      <c r="L102" s="12">
        <f>G102-J102</f>
        <v>22</v>
      </c>
      <c r="N102" s="114"/>
      <c r="P102" s="114"/>
      <c r="Q102" s="114"/>
      <c r="R102" s="10" t="s">
        <v>14</v>
      </c>
    </row>
    <row r="103" spans="1:19" x14ac:dyDescent="0.25">
      <c r="A103" s="9" t="s">
        <v>287</v>
      </c>
      <c r="B103" s="10" t="s">
        <v>284</v>
      </c>
      <c r="C103" s="13">
        <v>40704</v>
      </c>
      <c r="D103" s="9" t="s">
        <v>358</v>
      </c>
      <c r="F103" s="11">
        <v>5080</v>
      </c>
      <c r="G103" s="12">
        <f>62+69+41</f>
        <v>172</v>
      </c>
      <c r="J103" s="74">
        <f>55.8+62.1+36.9</f>
        <v>154.80000000000001</v>
      </c>
      <c r="K103" s="74"/>
      <c r="L103" s="12">
        <f>G103-J103</f>
        <v>17.199999999999989</v>
      </c>
      <c r="N103" s="115"/>
      <c r="P103" s="115"/>
      <c r="Q103" s="115"/>
      <c r="R103" s="10" t="s">
        <v>14</v>
      </c>
    </row>
    <row r="104" spans="1:19" x14ac:dyDescent="0.25">
      <c r="A104" s="9" t="s">
        <v>163</v>
      </c>
      <c r="B104" s="10" t="s">
        <v>33</v>
      </c>
      <c r="C104" s="13">
        <v>40725</v>
      </c>
      <c r="D104" s="9" t="s">
        <v>328</v>
      </c>
      <c r="E104" s="13">
        <v>40725</v>
      </c>
      <c r="F104" s="11">
        <v>26357</v>
      </c>
      <c r="G104" s="12">
        <f>48+98</f>
        <v>146</v>
      </c>
      <c r="H104" s="12">
        <f>G104-J104-L104</f>
        <v>24.220000000000013</v>
      </c>
      <c r="J104" s="12">
        <v>22.05</v>
      </c>
      <c r="L104" s="12">
        <f>39.53+57.76+2.44</f>
        <v>99.72999999999999</v>
      </c>
      <c r="N104" s="12">
        <v>99.73</v>
      </c>
      <c r="O104" s="13">
        <v>40804</v>
      </c>
      <c r="P104" s="13" t="s">
        <v>24</v>
      </c>
      <c r="Q104" s="63" t="s">
        <v>362</v>
      </c>
      <c r="R104" s="10" t="s">
        <v>14</v>
      </c>
    </row>
    <row r="105" spans="1:19" x14ac:dyDescent="0.25">
      <c r="A105" s="9" t="s">
        <v>387</v>
      </c>
      <c r="B105" s="10" t="s">
        <v>284</v>
      </c>
      <c r="C105" s="13" t="s">
        <v>370</v>
      </c>
      <c r="D105" s="9" t="s">
        <v>371</v>
      </c>
      <c r="E105" s="13"/>
    </row>
    <row r="106" spans="1:19" ht="26.4" x14ac:dyDescent="0.25">
      <c r="A106" s="9" t="s">
        <v>363</v>
      </c>
      <c r="B106" s="10" t="s">
        <v>284</v>
      </c>
      <c r="C106" s="9" t="s">
        <v>366</v>
      </c>
      <c r="D106" s="9" t="s">
        <v>364</v>
      </c>
      <c r="G106" s="12">
        <v>565</v>
      </c>
      <c r="K106" s="12">
        <f>11.3+15.31</f>
        <v>26.61</v>
      </c>
      <c r="L106" s="12">
        <f>G106+K106</f>
        <v>591.61</v>
      </c>
      <c r="N106" s="113">
        <v>675.61</v>
      </c>
      <c r="O106" s="13">
        <v>40811</v>
      </c>
      <c r="P106" s="13" t="s">
        <v>385</v>
      </c>
      <c r="R106" s="10" t="s">
        <v>14</v>
      </c>
    </row>
    <row r="107" spans="1:19" x14ac:dyDescent="0.25">
      <c r="A107" s="9" t="s">
        <v>363</v>
      </c>
      <c r="B107" s="10" t="s">
        <v>284</v>
      </c>
      <c r="C107" s="10" t="s">
        <v>369</v>
      </c>
      <c r="D107" s="9" t="s">
        <v>364</v>
      </c>
      <c r="G107" s="12">
        <f>630-105</f>
        <v>525</v>
      </c>
      <c r="J107" s="12">
        <v>441</v>
      </c>
      <c r="L107" s="12">
        <f>G107+-J107+K107</f>
        <v>84</v>
      </c>
      <c r="N107" s="115"/>
      <c r="O107" s="13">
        <v>40811</v>
      </c>
      <c r="P107" s="13" t="s">
        <v>386</v>
      </c>
      <c r="R107" s="10" t="s">
        <v>14</v>
      </c>
    </row>
    <row r="108" spans="1:19" ht="26.4" x14ac:dyDescent="0.25">
      <c r="A108" s="9" t="s">
        <v>363</v>
      </c>
      <c r="B108" s="10" t="s">
        <v>284</v>
      </c>
      <c r="C108" s="16">
        <v>40709</v>
      </c>
      <c r="D108" s="9" t="s">
        <v>367</v>
      </c>
      <c r="E108" s="13">
        <v>40718</v>
      </c>
      <c r="G108" s="12">
        <f>105+55</f>
        <v>160</v>
      </c>
      <c r="L108" s="12">
        <v>160</v>
      </c>
      <c r="N108" s="12">
        <v>160</v>
      </c>
      <c r="P108" s="13" t="s">
        <v>368</v>
      </c>
      <c r="R108" s="10" t="s">
        <v>14</v>
      </c>
    </row>
    <row r="109" spans="1:19" x14ac:dyDescent="0.25">
      <c r="A109" s="9" t="s">
        <v>388</v>
      </c>
      <c r="B109" s="10" t="s">
        <v>284</v>
      </c>
    </row>
    <row r="110" spans="1:19" x14ac:dyDescent="0.25">
      <c r="A110" s="9" t="s">
        <v>389</v>
      </c>
      <c r="B110" s="10" t="s">
        <v>63</v>
      </c>
      <c r="C110" s="13">
        <v>40793</v>
      </c>
      <c r="D110" s="9" t="s">
        <v>390</v>
      </c>
      <c r="E110" s="13">
        <v>40850</v>
      </c>
      <c r="F110" s="11">
        <v>9992020959</v>
      </c>
      <c r="L110" s="12">
        <v>5.16</v>
      </c>
      <c r="N110" s="12">
        <v>5.16</v>
      </c>
      <c r="O110" s="13">
        <v>40859</v>
      </c>
      <c r="P110" s="13" t="s">
        <v>24</v>
      </c>
      <c r="Q110" s="63" t="s">
        <v>402</v>
      </c>
      <c r="R110" s="10" t="s">
        <v>14</v>
      </c>
    </row>
    <row r="111" spans="1:19" ht="26.4" x14ac:dyDescent="0.25">
      <c r="A111" s="9" t="s">
        <v>161</v>
      </c>
      <c r="B111" s="10" t="s">
        <v>52</v>
      </c>
      <c r="C111" s="13">
        <v>40817</v>
      </c>
      <c r="D111" s="9" t="s">
        <v>393</v>
      </c>
      <c r="E111" s="13">
        <v>40835</v>
      </c>
      <c r="F111" s="11">
        <v>46890</v>
      </c>
      <c r="G111" s="12">
        <v>226</v>
      </c>
      <c r="H111" s="12">
        <f>G111-J111-L111</f>
        <v>38.699999999999996</v>
      </c>
      <c r="J111" s="12">
        <v>175.18</v>
      </c>
      <c r="L111" s="12">
        <v>12.12</v>
      </c>
      <c r="N111" s="12">
        <v>12.12</v>
      </c>
      <c r="O111" s="13">
        <v>40859</v>
      </c>
      <c r="P111" s="13" t="s">
        <v>24</v>
      </c>
      <c r="Q111" s="63" t="s">
        <v>401</v>
      </c>
      <c r="R111" s="10" t="s">
        <v>14</v>
      </c>
    </row>
    <row r="112" spans="1:19" ht="26.4" x14ac:dyDescent="0.25">
      <c r="A112" s="9" t="s">
        <v>161</v>
      </c>
      <c r="B112" s="10" t="s">
        <v>284</v>
      </c>
      <c r="C112" s="13">
        <v>40817</v>
      </c>
      <c r="D112" s="9" t="s">
        <v>394</v>
      </c>
      <c r="E112" s="13">
        <v>40835</v>
      </c>
      <c r="F112" s="11">
        <v>49090</v>
      </c>
      <c r="G112" s="12">
        <v>294</v>
      </c>
      <c r="H112" s="12">
        <f>G112-J112-L112</f>
        <v>46.400000000000013</v>
      </c>
      <c r="J112" s="12">
        <v>229.45</v>
      </c>
      <c r="L112" s="12">
        <v>18.149999999999999</v>
      </c>
      <c r="N112" s="12">
        <v>18.149999999999999</v>
      </c>
      <c r="O112" s="13">
        <v>40859</v>
      </c>
      <c r="P112" s="13" t="s">
        <v>24</v>
      </c>
      <c r="Q112" s="63" t="s">
        <v>400</v>
      </c>
      <c r="R112" s="10" t="s">
        <v>14</v>
      </c>
    </row>
    <row r="113" spans="1:19" ht="53.4" thickBot="1" x14ac:dyDescent="0.3">
      <c r="A113" s="9" t="s">
        <v>352</v>
      </c>
      <c r="B113" s="10" t="s">
        <v>63</v>
      </c>
      <c r="C113" s="10" t="s">
        <v>397</v>
      </c>
      <c r="D113" s="9" t="s">
        <v>398</v>
      </c>
      <c r="E113" s="13">
        <v>40823</v>
      </c>
      <c r="F113" s="11">
        <v>11591</v>
      </c>
      <c r="G113" s="12">
        <f>330+122.5+143+77.5+500</f>
        <v>1173</v>
      </c>
      <c r="H113" s="12">
        <f>47.93+17.31+21.73+9.83+71.2</f>
        <v>168</v>
      </c>
      <c r="I113" s="12">
        <f>G113-H113</f>
        <v>1005</v>
      </c>
      <c r="J113" s="12">
        <f>253.87+94.68+109.15+60.91+385.92</f>
        <v>904.53</v>
      </c>
      <c r="L113" s="12">
        <f>I113-J113</f>
        <v>100.47000000000003</v>
      </c>
      <c r="N113" s="12">
        <v>100.47</v>
      </c>
      <c r="O113" s="13">
        <v>40859</v>
      </c>
      <c r="P113" s="13" t="s">
        <v>24</v>
      </c>
      <c r="Q113" s="63" t="s">
        <v>399</v>
      </c>
      <c r="R113" s="10" t="s">
        <v>14</v>
      </c>
    </row>
    <row r="114" spans="1:19" x14ac:dyDescent="0.25">
      <c r="A114" s="68" t="s">
        <v>287</v>
      </c>
      <c r="B114" s="69" t="s">
        <v>33</v>
      </c>
      <c r="C114" s="13">
        <v>40858</v>
      </c>
      <c r="D114" s="68" t="s">
        <v>410</v>
      </c>
      <c r="E114" s="13">
        <v>40875</v>
      </c>
      <c r="F114" s="11">
        <v>5080</v>
      </c>
      <c r="G114" s="12">
        <f>62+93</f>
        <v>155</v>
      </c>
      <c r="J114" s="12">
        <v>139.5</v>
      </c>
      <c r="L114" s="12">
        <f>G114-H114-J114</f>
        <v>15.5</v>
      </c>
      <c r="N114" s="116">
        <v>112.2</v>
      </c>
      <c r="O114" s="13">
        <v>40915</v>
      </c>
      <c r="P114" s="72" t="s">
        <v>24</v>
      </c>
      <c r="Q114" s="71" t="s">
        <v>414</v>
      </c>
      <c r="R114" s="10" t="s">
        <v>14</v>
      </c>
    </row>
    <row r="115" spans="1:19" x14ac:dyDescent="0.25">
      <c r="A115" s="68" t="s">
        <v>287</v>
      </c>
      <c r="B115" s="69" t="s">
        <v>33</v>
      </c>
      <c r="C115" s="13">
        <v>40896</v>
      </c>
      <c r="D115" s="68" t="s">
        <v>413</v>
      </c>
      <c r="E115" s="13">
        <v>40898</v>
      </c>
      <c r="F115" s="11">
        <v>5080</v>
      </c>
      <c r="G115" s="12">
        <v>125</v>
      </c>
      <c r="J115" s="86">
        <f>420.3*$G115/SUM($G$115:$G$117)</f>
        <v>101.61992263056092</v>
      </c>
      <c r="L115" s="12">
        <f>G115-H115-J115</f>
        <v>23.380077369439078</v>
      </c>
      <c r="M115" s="38">
        <f>L114+L115</f>
        <v>38.880077369439078</v>
      </c>
      <c r="N115" s="117"/>
      <c r="O115" s="13">
        <v>40915</v>
      </c>
      <c r="P115" s="72" t="s">
        <v>24</v>
      </c>
      <c r="Q115" s="71" t="s">
        <v>414</v>
      </c>
      <c r="R115" s="10" t="s">
        <v>14</v>
      </c>
    </row>
    <row r="116" spans="1:19" x14ac:dyDescent="0.25">
      <c r="A116" s="68" t="s">
        <v>287</v>
      </c>
      <c r="B116" s="69" t="s">
        <v>63</v>
      </c>
      <c r="C116" s="13">
        <v>40896</v>
      </c>
      <c r="D116" s="68" t="s">
        <v>411</v>
      </c>
      <c r="E116" s="13">
        <v>40898</v>
      </c>
      <c r="F116" s="11">
        <v>5080</v>
      </c>
      <c r="G116" s="12">
        <f>62+69+41</f>
        <v>172</v>
      </c>
      <c r="J116" s="86">
        <f>420.3*$G116/SUM($G$115:$G$117)</f>
        <v>139.82901353965184</v>
      </c>
      <c r="L116" s="12">
        <f>G116-H116-J116</f>
        <v>32.170986460348161</v>
      </c>
      <c r="M116" s="38">
        <f>M115+L116</f>
        <v>71.051063829787239</v>
      </c>
      <c r="N116" s="117"/>
      <c r="O116" s="13">
        <v>40915</v>
      </c>
      <c r="P116" s="72" t="s">
        <v>24</v>
      </c>
      <c r="Q116" s="71" t="s">
        <v>414</v>
      </c>
      <c r="R116" s="10" t="s">
        <v>14</v>
      </c>
    </row>
    <row r="117" spans="1:19" ht="13.8" thickBot="1" x14ac:dyDescent="0.3">
      <c r="A117" s="68" t="s">
        <v>287</v>
      </c>
      <c r="B117" s="69" t="s">
        <v>284</v>
      </c>
      <c r="C117" s="13">
        <v>40896</v>
      </c>
      <c r="D117" s="68" t="s">
        <v>412</v>
      </c>
      <c r="E117" s="13">
        <v>40898</v>
      </c>
      <c r="F117" s="11">
        <v>5080</v>
      </c>
      <c r="G117" s="12">
        <f>62+48+69+41</f>
        <v>220</v>
      </c>
      <c r="J117" s="86">
        <f>420.3*$G117/SUM($G$115:$G$117)</f>
        <v>178.85106382978722</v>
      </c>
      <c r="L117" s="12">
        <f>G117-H117-J117</f>
        <v>41.148936170212778</v>
      </c>
      <c r="M117" s="38">
        <f>M116+L117</f>
        <v>112.20000000000002</v>
      </c>
      <c r="N117" s="118"/>
      <c r="O117" s="13">
        <v>40915</v>
      </c>
      <c r="P117" s="72" t="s">
        <v>24</v>
      </c>
      <c r="Q117" s="71" t="s">
        <v>414</v>
      </c>
      <c r="R117" s="10" t="s">
        <v>14</v>
      </c>
    </row>
    <row r="118" spans="1:19" ht="26.4" x14ac:dyDescent="0.25">
      <c r="A118" s="9" t="s">
        <v>163</v>
      </c>
      <c r="B118" s="10" t="s">
        <v>33</v>
      </c>
      <c r="C118" s="16" t="s">
        <v>415</v>
      </c>
      <c r="D118" s="9" t="s">
        <v>416</v>
      </c>
      <c r="E118" s="13">
        <v>40885</v>
      </c>
      <c r="F118" s="11">
        <v>26357</v>
      </c>
      <c r="G118" s="12">
        <f>146+277</f>
        <v>423</v>
      </c>
      <c r="H118" s="12">
        <f>24.22+46.15</f>
        <v>70.37</v>
      </c>
      <c r="J118" s="12">
        <f>109.61+227.17</f>
        <v>336.78</v>
      </c>
      <c r="L118" s="12">
        <f>G118-H118-J118</f>
        <v>15.850000000000023</v>
      </c>
      <c r="N118" s="12">
        <v>15.85</v>
      </c>
      <c r="O118" s="13">
        <v>40916</v>
      </c>
      <c r="P118" s="13" t="s">
        <v>24</v>
      </c>
      <c r="Q118" s="63" t="s">
        <v>418</v>
      </c>
      <c r="R118" s="10" t="s">
        <v>14</v>
      </c>
    </row>
    <row r="119" spans="1:19" x14ac:dyDescent="0.25">
      <c r="A119" s="9" t="s">
        <v>389</v>
      </c>
      <c r="B119" s="10" t="s">
        <v>33</v>
      </c>
      <c r="C119" s="13">
        <v>40865</v>
      </c>
      <c r="D119" s="9" t="s">
        <v>417</v>
      </c>
      <c r="E119" s="13">
        <v>40908</v>
      </c>
      <c r="F119" s="11">
        <v>9992662685</v>
      </c>
      <c r="G119" s="12" t="s">
        <v>10</v>
      </c>
      <c r="H119" s="12" t="s">
        <v>10</v>
      </c>
      <c r="J119" s="12" t="s">
        <v>10</v>
      </c>
      <c r="L119" s="12">
        <v>14.76</v>
      </c>
      <c r="N119" s="12">
        <v>14.76</v>
      </c>
      <c r="O119" s="13">
        <v>40916</v>
      </c>
      <c r="P119" s="13" t="s">
        <v>24</v>
      </c>
      <c r="Q119" s="63" t="s">
        <v>419</v>
      </c>
      <c r="R119" s="10" t="s">
        <v>14</v>
      </c>
    </row>
    <row r="120" spans="1:19" x14ac:dyDescent="0.25">
      <c r="A120" s="89" t="s">
        <v>163</v>
      </c>
      <c r="B120" s="90" t="s">
        <v>33</v>
      </c>
      <c r="C120" s="91">
        <v>40889</v>
      </c>
      <c r="D120" s="89" t="s">
        <v>424</v>
      </c>
      <c r="E120" s="13">
        <v>41001</v>
      </c>
      <c r="F120" s="11">
        <v>26357</v>
      </c>
      <c r="G120" s="12">
        <f>48+98</f>
        <v>146</v>
      </c>
      <c r="H120" s="12">
        <f>G120-J120-12.17</f>
        <v>24.22</v>
      </c>
      <c r="J120" s="12">
        <f>35.58+74.03</f>
        <v>109.61</v>
      </c>
      <c r="L120" s="12">
        <f>G120-J120</f>
        <v>36.39</v>
      </c>
      <c r="N120" s="12">
        <v>12.17</v>
      </c>
      <c r="O120" s="13">
        <v>41019</v>
      </c>
      <c r="P120" s="91" t="s">
        <v>47</v>
      </c>
      <c r="Q120" s="92" t="s">
        <v>285</v>
      </c>
      <c r="R120" s="90" t="s">
        <v>14</v>
      </c>
      <c r="S120" s="90"/>
    </row>
    <row r="121" spans="1:19" x14ac:dyDescent="0.25">
      <c r="A121" s="89" t="s">
        <v>163</v>
      </c>
      <c r="B121" s="90" t="s">
        <v>33</v>
      </c>
      <c r="C121" s="90" t="s">
        <v>423</v>
      </c>
      <c r="D121" s="89" t="s">
        <v>425</v>
      </c>
      <c r="E121" s="13">
        <v>41036</v>
      </c>
      <c r="F121" s="11">
        <v>26357</v>
      </c>
      <c r="G121" s="12">
        <f>54+98+159+6</f>
        <v>317</v>
      </c>
      <c r="H121" s="12">
        <f>G121-L121</f>
        <v>65.450000000000017</v>
      </c>
      <c r="L121" s="12">
        <f>39.53+86.36+121.27+4.39</f>
        <v>251.54999999999998</v>
      </c>
      <c r="N121" s="12">
        <v>251.55</v>
      </c>
      <c r="O121" s="13">
        <v>41043</v>
      </c>
      <c r="P121" s="13" t="s">
        <v>24</v>
      </c>
      <c r="Q121" s="63" t="s">
        <v>427</v>
      </c>
      <c r="R121" s="10" t="s">
        <v>14</v>
      </c>
    </row>
    <row r="122" spans="1:19" x14ac:dyDescent="0.25">
      <c r="A122" s="9" t="s">
        <v>426</v>
      </c>
      <c r="B122" s="10" t="s">
        <v>35</v>
      </c>
      <c r="C122" s="13">
        <v>40907</v>
      </c>
      <c r="D122" s="9" t="s">
        <v>340</v>
      </c>
      <c r="E122" s="13">
        <v>41033</v>
      </c>
      <c r="F122" s="11">
        <v>914496</v>
      </c>
      <c r="G122" s="12">
        <f>220+40+35</f>
        <v>295</v>
      </c>
      <c r="H122" s="12">
        <f>54.69+0.01+40+35</f>
        <v>129.69999999999999</v>
      </c>
      <c r="J122" s="12">
        <v>148.79</v>
      </c>
      <c r="L122" s="12">
        <f>G122-H122-J122</f>
        <v>16.510000000000019</v>
      </c>
      <c r="N122" s="12">
        <v>16.53</v>
      </c>
      <c r="O122" s="13">
        <v>41043</v>
      </c>
      <c r="P122" s="13" t="s">
        <v>24</v>
      </c>
      <c r="Q122" s="63" t="s">
        <v>428</v>
      </c>
      <c r="R122" s="10" t="s">
        <v>14</v>
      </c>
    </row>
    <row r="123" spans="1:19" x14ac:dyDescent="0.25">
      <c r="A123" s="9" t="s">
        <v>287</v>
      </c>
      <c r="B123" s="10" t="s">
        <v>33</v>
      </c>
      <c r="C123" s="13">
        <v>41047</v>
      </c>
      <c r="D123" s="9" t="s">
        <v>357</v>
      </c>
      <c r="E123" s="13">
        <v>41053</v>
      </c>
      <c r="F123" s="11">
        <v>5080</v>
      </c>
      <c r="G123" s="12">
        <f>93+69</f>
        <v>162</v>
      </c>
      <c r="J123" s="86">
        <v>145.80000000000001</v>
      </c>
      <c r="L123" s="12">
        <v>16.2</v>
      </c>
      <c r="N123" s="113">
        <v>69.53</v>
      </c>
    </row>
    <row r="124" spans="1:19" x14ac:dyDescent="0.25">
      <c r="A124" s="9" t="s">
        <v>287</v>
      </c>
      <c r="B124" s="10" t="s">
        <v>284</v>
      </c>
      <c r="C124" s="13">
        <v>41070</v>
      </c>
      <c r="D124" s="9" t="s">
        <v>358</v>
      </c>
      <c r="E124" s="94" t="s">
        <v>431</v>
      </c>
      <c r="F124" s="11">
        <v>5080</v>
      </c>
      <c r="J124" s="86"/>
      <c r="N124" s="114"/>
    </row>
    <row r="125" spans="1:19" x14ac:dyDescent="0.25">
      <c r="A125" s="9" t="s">
        <v>287</v>
      </c>
      <c r="B125" s="10" t="s">
        <v>63</v>
      </c>
      <c r="C125" s="13">
        <v>41070</v>
      </c>
      <c r="D125" s="9" t="s">
        <v>358</v>
      </c>
      <c r="E125" s="94" t="s">
        <v>431</v>
      </c>
      <c r="F125" s="11">
        <v>5080</v>
      </c>
      <c r="J125" s="86"/>
      <c r="N125" s="114"/>
    </row>
    <row r="126" spans="1:19" x14ac:dyDescent="0.25">
      <c r="A126" s="9" t="s">
        <v>287</v>
      </c>
      <c r="B126" s="10" t="s">
        <v>52</v>
      </c>
      <c r="C126" s="13">
        <v>41115</v>
      </c>
      <c r="D126" s="9" t="s">
        <v>358</v>
      </c>
      <c r="E126" s="94" t="s">
        <v>431</v>
      </c>
      <c r="F126" s="11">
        <v>5080</v>
      </c>
      <c r="G126" s="74">
        <f>J126+L126</f>
        <v>134</v>
      </c>
      <c r="H126" s="74"/>
      <c r="I126" s="74"/>
      <c r="J126" s="93">
        <v>120.6</v>
      </c>
      <c r="K126" s="74"/>
      <c r="L126" s="74">
        <f>29.3-15.9</f>
        <v>13.4</v>
      </c>
      <c r="N126" s="114"/>
    </row>
    <row r="127" spans="1:19" x14ac:dyDescent="0.25">
      <c r="A127" s="89" t="s">
        <v>287</v>
      </c>
      <c r="B127" s="90" t="s">
        <v>284</v>
      </c>
      <c r="C127" s="13">
        <v>41115</v>
      </c>
      <c r="D127" s="9" t="s">
        <v>430</v>
      </c>
      <c r="E127" s="13">
        <v>41148</v>
      </c>
      <c r="F127" s="11">
        <v>5080</v>
      </c>
      <c r="G127" s="12">
        <f>3*53</f>
        <v>159</v>
      </c>
      <c r="J127" s="26">
        <v>143.1</v>
      </c>
      <c r="K127" s="12">
        <v>1.03</v>
      </c>
      <c r="L127" s="12">
        <f>G127-J127</f>
        <v>15.900000000000006</v>
      </c>
      <c r="N127" s="115"/>
    </row>
    <row r="128" spans="1:19" x14ac:dyDescent="0.25">
      <c r="A128" s="9" t="s">
        <v>163</v>
      </c>
      <c r="B128" s="10" t="s">
        <v>33</v>
      </c>
      <c r="C128" s="13">
        <v>41047</v>
      </c>
      <c r="D128" s="9" t="s">
        <v>328</v>
      </c>
      <c r="E128" s="13">
        <v>41067</v>
      </c>
      <c r="F128" s="11">
        <v>26357</v>
      </c>
      <c r="G128" s="12">
        <v>152</v>
      </c>
      <c r="H128" s="12">
        <f>G128-L128</f>
        <v>26.11</v>
      </c>
      <c r="L128" s="12">
        <f>39.53+86.36</f>
        <v>125.89</v>
      </c>
      <c r="N128" s="12">
        <v>125.89</v>
      </c>
      <c r="O128" s="13">
        <v>41134</v>
      </c>
      <c r="P128" s="13" t="s">
        <v>47</v>
      </c>
      <c r="Q128" s="63" t="s">
        <v>285</v>
      </c>
      <c r="R128" s="10" t="s">
        <v>14</v>
      </c>
    </row>
    <row r="129" spans="1:20" x14ac:dyDescent="0.25">
      <c r="A129" s="9" t="s">
        <v>163</v>
      </c>
      <c r="B129" s="10" t="s">
        <v>33</v>
      </c>
      <c r="C129" s="13">
        <v>41131</v>
      </c>
      <c r="D129" s="9" t="s">
        <v>328</v>
      </c>
      <c r="E129" s="13">
        <v>41250</v>
      </c>
      <c r="F129" s="11">
        <v>26357</v>
      </c>
      <c r="G129" s="12">
        <f>54+98</f>
        <v>152</v>
      </c>
      <c r="H129" s="12">
        <f>G129-L129</f>
        <v>26.11</v>
      </c>
      <c r="L129" s="12">
        <f>39.53+86.36</f>
        <v>125.89</v>
      </c>
      <c r="N129" s="112">
        <v>223.89</v>
      </c>
      <c r="O129" s="111">
        <v>41274</v>
      </c>
      <c r="P129" s="13" t="s">
        <v>24</v>
      </c>
      <c r="Q129" s="63" t="s">
        <v>285</v>
      </c>
      <c r="R129" s="10" t="s">
        <v>14</v>
      </c>
    </row>
    <row r="130" spans="1:20" x14ac:dyDescent="0.25">
      <c r="A130" s="9" t="s">
        <v>163</v>
      </c>
      <c r="B130" s="10" t="s">
        <v>33</v>
      </c>
      <c r="C130" s="13">
        <v>41214</v>
      </c>
      <c r="D130" s="9" t="s">
        <v>429</v>
      </c>
      <c r="E130" s="13">
        <v>41250</v>
      </c>
      <c r="F130" s="11">
        <v>26357</v>
      </c>
      <c r="G130" s="12">
        <f>54+27+54+98</f>
        <v>233</v>
      </c>
      <c r="H130" s="12">
        <f>54+(54-43.31)+(27-9.32)</f>
        <v>82.37</v>
      </c>
      <c r="J130" s="12">
        <f>43.31+9.32</f>
        <v>52.63</v>
      </c>
      <c r="L130" s="12">
        <f>G130-H130-J130</f>
        <v>98</v>
      </c>
      <c r="N130" s="112"/>
      <c r="O130" s="111"/>
      <c r="P130" s="13" t="s">
        <v>24</v>
      </c>
      <c r="Q130" s="63" t="s">
        <v>285</v>
      </c>
      <c r="R130" s="10" t="s">
        <v>14</v>
      </c>
    </row>
    <row r="131" spans="1:20" x14ac:dyDescent="0.25">
      <c r="A131" s="9" t="s">
        <v>163</v>
      </c>
      <c r="B131" s="10" t="s">
        <v>35</v>
      </c>
      <c r="C131" s="13">
        <v>41204</v>
      </c>
      <c r="D131" s="9" t="s">
        <v>340</v>
      </c>
      <c r="E131" s="13">
        <v>41228</v>
      </c>
      <c r="F131" s="11">
        <v>27965</v>
      </c>
      <c r="G131" s="12">
        <v>159</v>
      </c>
      <c r="H131" s="12">
        <v>38.94</v>
      </c>
      <c r="L131" s="12">
        <f>159-38.94</f>
        <v>120.06</v>
      </c>
      <c r="N131" s="12">
        <v>120.06</v>
      </c>
      <c r="O131" s="13">
        <v>41274</v>
      </c>
      <c r="P131" s="13" t="s">
        <v>24</v>
      </c>
      <c r="Q131" s="63" t="s">
        <v>285</v>
      </c>
      <c r="R131" s="10" t="s">
        <v>14</v>
      </c>
    </row>
    <row r="132" spans="1:20" x14ac:dyDescent="0.25">
      <c r="A132" s="9" t="s">
        <v>163</v>
      </c>
      <c r="B132" s="90" t="s">
        <v>35</v>
      </c>
      <c r="C132" s="13">
        <v>41323</v>
      </c>
      <c r="D132" s="89" t="s">
        <v>322</v>
      </c>
      <c r="E132" s="13">
        <v>41432</v>
      </c>
      <c r="F132" s="11">
        <v>27965</v>
      </c>
      <c r="G132" s="12">
        <v>164</v>
      </c>
      <c r="I132" s="12">
        <v>120.06</v>
      </c>
      <c r="L132" s="12">
        <v>120.06</v>
      </c>
      <c r="N132" s="12">
        <v>120.06</v>
      </c>
      <c r="O132" s="13">
        <v>41517</v>
      </c>
      <c r="P132" s="91" t="s">
        <v>24</v>
      </c>
      <c r="Q132" s="92" t="s">
        <v>285</v>
      </c>
      <c r="R132" s="90" t="s">
        <v>14</v>
      </c>
      <c r="S132" s="90"/>
    </row>
    <row r="133" spans="1:20" x14ac:dyDescent="0.25">
      <c r="A133" s="89" t="s">
        <v>287</v>
      </c>
      <c r="B133" s="90" t="s">
        <v>33</v>
      </c>
      <c r="C133" s="91" t="s">
        <v>10</v>
      </c>
      <c r="D133" s="89" t="s">
        <v>10</v>
      </c>
      <c r="E133" s="13">
        <v>41355</v>
      </c>
      <c r="G133" s="74"/>
      <c r="H133" s="74"/>
      <c r="I133" s="74"/>
      <c r="J133" s="74"/>
      <c r="K133" s="74">
        <v>4</v>
      </c>
      <c r="L133" s="74"/>
      <c r="M133" s="38">
        <v>148.53</v>
      </c>
      <c r="P133" s="91"/>
      <c r="Q133" s="92"/>
      <c r="R133" s="90" t="s">
        <v>433</v>
      </c>
      <c r="S133" s="90"/>
    </row>
    <row r="134" spans="1:20" x14ac:dyDescent="0.25">
      <c r="A134" s="9" t="s">
        <v>287</v>
      </c>
      <c r="B134" s="90" t="s">
        <v>35</v>
      </c>
      <c r="C134" s="13">
        <v>41416</v>
      </c>
      <c r="D134" s="89" t="s">
        <v>357</v>
      </c>
      <c r="E134" s="13">
        <v>41417</v>
      </c>
      <c r="F134" s="11">
        <v>5080</v>
      </c>
      <c r="G134" s="12">
        <f>63+95+70+28</f>
        <v>256</v>
      </c>
      <c r="J134" s="74"/>
      <c r="L134" s="74"/>
      <c r="R134" s="90" t="s">
        <v>433</v>
      </c>
      <c r="S134" s="90"/>
    </row>
    <row r="135" spans="1:20" x14ac:dyDescent="0.25">
      <c r="A135" s="89" t="s">
        <v>287</v>
      </c>
      <c r="B135" s="90" t="s">
        <v>33</v>
      </c>
      <c r="C135" s="13">
        <v>41410</v>
      </c>
      <c r="D135" s="89" t="s">
        <v>358</v>
      </c>
      <c r="E135" s="13">
        <v>41417</v>
      </c>
      <c r="F135" s="11">
        <v>5080</v>
      </c>
      <c r="G135" s="12">
        <f>63+95</f>
        <v>158</v>
      </c>
      <c r="J135" s="74"/>
      <c r="L135" s="74"/>
      <c r="R135" s="90" t="s">
        <v>433</v>
      </c>
      <c r="S135" s="90"/>
    </row>
    <row r="136" spans="1:20" x14ac:dyDescent="0.25">
      <c r="A136" s="89" t="s">
        <v>287</v>
      </c>
      <c r="B136" s="90" t="s">
        <v>284</v>
      </c>
      <c r="C136" s="13">
        <v>41493</v>
      </c>
      <c r="D136" s="89" t="s">
        <v>358</v>
      </c>
      <c r="E136" s="13">
        <v>41513</v>
      </c>
      <c r="F136" s="11">
        <v>5080</v>
      </c>
      <c r="G136" s="12">
        <f>63+72+43</f>
        <v>178</v>
      </c>
      <c r="J136" s="12">
        <v>160.19999999999999</v>
      </c>
      <c r="K136" s="12">
        <v>2.29</v>
      </c>
      <c r="L136" s="12">
        <f>G136-J136</f>
        <v>17.800000000000011</v>
      </c>
      <c r="M136" s="38">
        <f>152.93+135.76</f>
        <v>288.69</v>
      </c>
      <c r="N136" s="119">
        <v>403.58</v>
      </c>
      <c r="O136" s="13">
        <v>41608</v>
      </c>
      <c r="R136" s="90" t="s">
        <v>14</v>
      </c>
      <c r="S136" s="90"/>
      <c r="T136" s="9" t="s">
        <v>444</v>
      </c>
    </row>
    <row r="137" spans="1:20" x14ac:dyDescent="0.25">
      <c r="A137" s="89" t="s">
        <v>287</v>
      </c>
      <c r="B137" s="90" t="s">
        <v>63</v>
      </c>
      <c r="C137" s="13">
        <v>41493</v>
      </c>
      <c r="D137" s="89" t="s">
        <v>357</v>
      </c>
      <c r="E137" s="13">
        <v>41513</v>
      </c>
      <c r="F137" s="11">
        <v>5080</v>
      </c>
      <c r="G137" s="12">
        <f>63+48+72+43</f>
        <v>226</v>
      </c>
      <c r="J137" s="12">
        <v>203.4</v>
      </c>
      <c r="L137" s="12">
        <f>G137-J137</f>
        <v>22.599999999999994</v>
      </c>
      <c r="N137" s="120"/>
      <c r="O137" s="13">
        <v>41608</v>
      </c>
      <c r="R137" s="90" t="s">
        <v>14</v>
      </c>
      <c r="S137" s="90"/>
      <c r="T137" s="10"/>
    </row>
    <row r="138" spans="1:20" x14ac:dyDescent="0.25">
      <c r="A138" s="89" t="s">
        <v>287</v>
      </c>
      <c r="B138" s="90" t="s">
        <v>63</v>
      </c>
      <c r="C138" s="13">
        <v>41500</v>
      </c>
      <c r="D138" s="89" t="s">
        <v>443</v>
      </c>
      <c r="E138" s="13">
        <v>41513</v>
      </c>
      <c r="F138" s="11">
        <v>5080</v>
      </c>
      <c r="G138" s="12">
        <f>55*4</f>
        <v>220</v>
      </c>
      <c r="J138" s="12">
        <v>198</v>
      </c>
      <c r="L138" s="12">
        <f>G138-J138</f>
        <v>22</v>
      </c>
      <c r="N138" s="120"/>
      <c r="O138" s="13">
        <v>41608</v>
      </c>
      <c r="R138" s="90" t="s">
        <v>14</v>
      </c>
      <c r="S138" s="90"/>
    </row>
    <row r="139" spans="1:20" x14ac:dyDescent="0.25">
      <c r="A139" s="89" t="s">
        <v>287</v>
      </c>
      <c r="B139" s="90" t="s">
        <v>52</v>
      </c>
      <c r="C139" s="13">
        <v>41494</v>
      </c>
      <c r="D139" s="89" t="s">
        <v>358</v>
      </c>
      <c r="E139" s="13">
        <v>41513</v>
      </c>
      <c r="F139" s="11">
        <v>5080</v>
      </c>
      <c r="G139" s="12">
        <f>63+72+43</f>
        <v>178</v>
      </c>
      <c r="J139" s="12">
        <v>160.19999999999999</v>
      </c>
      <c r="K139" s="12">
        <v>4.3600000000000003</v>
      </c>
      <c r="L139" s="12">
        <f>G139-J139</f>
        <v>17.800000000000011</v>
      </c>
      <c r="N139" s="120"/>
      <c r="R139" s="90" t="s">
        <v>14</v>
      </c>
      <c r="S139" s="90"/>
    </row>
    <row r="140" spans="1:20" x14ac:dyDescent="0.25">
      <c r="A140" s="89" t="s">
        <v>287</v>
      </c>
      <c r="B140" s="90" t="s">
        <v>33</v>
      </c>
      <c r="C140" s="13">
        <v>41600</v>
      </c>
      <c r="D140" s="89" t="s">
        <v>357</v>
      </c>
      <c r="E140" s="13">
        <v>41603</v>
      </c>
      <c r="F140" s="11">
        <v>5080</v>
      </c>
      <c r="G140" s="12">
        <f>63+95+70</f>
        <v>228</v>
      </c>
      <c r="J140" s="12">
        <v>205.2</v>
      </c>
      <c r="K140" s="12">
        <v>5.24</v>
      </c>
      <c r="L140" s="12">
        <f>SUM(G140-J140+K140)</f>
        <v>28.040000000000013</v>
      </c>
      <c r="M140" s="38">
        <f>349.18+22+4.36</f>
        <v>375.54</v>
      </c>
      <c r="N140" s="121"/>
      <c r="O140" s="13">
        <v>41608</v>
      </c>
      <c r="P140" s="91" t="s">
        <v>24</v>
      </c>
      <c r="Q140" s="92" t="s">
        <v>285</v>
      </c>
      <c r="R140" s="90" t="s">
        <v>14</v>
      </c>
      <c r="S140" s="90"/>
    </row>
    <row r="141" spans="1:20" ht="26.4" x14ac:dyDescent="0.25">
      <c r="A141" s="9" t="s">
        <v>161</v>
      </c>
      <c r="B141" s="10" t="s">
        <v>52</v>
      </c>
      <c r="C141" s="13">
        <v>41461</v>
      </c>
      <c r="D141" s="9" t="s">
        <v>432</v>
      </c>
      <c r="E141" s="13">
        <v>41569</v>
      </c>
      <c r="F141" s="11">
        <v>24816</v>
      </c>
      <c r="G141" s="12">
        <v>301</v>
      </c>
      <c r="J141" s="12">
        <f>12.28+64.52+14.89</f>
        <v>91.69</v>
      </c>
      <c r="L141" s="12">
        <f>G141-H141-J141</f>
        <v>209.31</v>
      </c>
      <c r="N141" s="12">
        <v>209.31</v>
      </c>
      <c r="O141" s="13">
        <v>41620</v>
      </c>
      <c r="P141" s="13" t="s">
        <v>47</v>
      </c>
      <c r="Q141" s="63" t="s">
        <v>285</v>
      </c>
      <c r="R141" s="10" t="s">
        <v>14</v>
      </c>
    </row>
    <row r="142" spans="1:20" ht="26.4" x14ac:dyDescent="0.25">
      <c r="A142" s="89" t="s">
        <v>434</v>
      </c>
      <c r="B142" s="90" t="s">
        <v>33</v>
      </c>
      <c r="C142" s="13">
        <v>41477</v>
      </c>
      <c r="D142" s="89" t="s">
        <v>435</v>
      </c>
      <c r="E142" s="13">
        <v>41617</v>
      </c>
      <c r="F142" s="95" t="s">
        <v>436</v>
      </c>
      <c r="G142" s="12">
        <f>129+70</f>
        <v>199</v>
      </c>
      <c r="H142" s="12">
        <v>70</v>
      </c>
      <c r="L142" s="12">
        <v>129</v>
      </c>
      <c r="N142" s="12">
        <v>129</v>
      </c>
      <c r="O142" s="13">
        <v>41644</v>
      </c>
      <c r="P142" s="110" t="s">
        <v>437</v>
      </c>
      <c r="Q142" s="110"/>
      <c r="R142" s="90" t="s">
        <v>14</v>
      </c>
      <c r="S142" s="90"/>
    </row>
    <row r="143" spans="1:20" x14ac:dyDescent="0.25">
      <c r="A143" s="89" t="s">
        <v>287</v>
      </c>
      <c r="B143" s="90" t="s">
        <v>35</v>
      </c>
      <c r="C143" s="13">
        <v>41618</v>
      </c>
      <c r="D143" s="89" t="s">
        <v>358</v>
      </c>
      <c r="E143" s="13">
        <v>41631</v>
      </c>
      <c r="F143" s="11">
        <v>5080</v>
      </c>
      <c r="G143" s="12">
        <f>63+95</f>
        <v>158</v>
      </c>
      <c r="J143" s="12">
        <v>142.19999999999999</v>
      </c>
      <c r="L143" s="12">
        <f>G143-J143</f>
        <v>15.800000000000011</v>
      </c>
      <c r="N143" s="12">
        <v>15.8</v>
      </c>
      <c r="O143" s="13">
        <v>41644</v>
      </c>
      <c r="R143" s="90" t="s">
        <v>14</v>
      </c>
      <c r="S143" s="90"/>
    </row>
    <row r="144" spans="1:20" x14ac:dyDescent="0.25">
      <c r="A144" s="89" t="s">
        <v>389</v>
      </c>
      <c r="B144" s="90" t="s">
        <v>284</v>
      </c>
      <c r="C144" s="13">
        <v>41650</v>
      </c>
      <c r="D144" s="89" t="s">
        <v>417</v>
      </c>
      <c r="E144" s="13">
        <v>41750</v>
      </c>
      <c r="F144" s="95">
        <v>9998989561</v>
      </c>
      <c r="G144" s="12">
        <v>560.1</v>
      </c>
      <c r="J144" s="12">
        <v>376.86</v>
      </c>
      <c r="L144" s="12">
        <v>183.24</v>
      </c>
      <c r="N144" s="100"/>
    </row>
    <row r="145" spans="1:19" x14ac:dyDescent="0.25">
      <c r="A145" s="89" t="s">
        <v>389</v>
      </c>
      <c r="B145" s="90" t="s">
        <v>33</v>
      </c>
      <c r="C145" s="13">
        <v>41650</v>
      </c>
      <c r="D145" s="89" t="s">
        <v>417</v>
      </c>
      <c r="E145" s="13">
        <v>41750</v>
      </c>
      <c r="F145" s="95">
        <v>9998989595</v>
      </c>
      <c r="G145" s="12">
        <v>287</v>
      </c>
      <c r="J145" s="12">
        <v>56.43</v>
      </c>
      <c r="L145" s="12">
        <v>230.57</v>
      </c>
      <c r="N145" s="101"/>
    </row>
    <row r="146" spans="1:19" x14ac:dyDescent="0.25">
      <c r="A146" s="89" t="s">
        <v>287</v>
      </c>
      <c r="B146" s="90" t="s">
        <v>63</v>
      </c>
      <c r="C146" s="13">
        <v>41663</v>
      </c>
      <c r="D146" s="89" t="s">
        <v>445</v>
      </c>
      <c r="E146" s="13">
        <v>41666</v>
      </c>
      <c r="F146" s="95">
        <v>5080</v>
      </c>
      <c r="G146" s="12">
        <v>72</v>
      </c>
      <c r="J146" s="12">
        <v>64.8</v>
      </c>
      <c r="L146" s="12">
        <f>G146-J146</f>
        <v>7.2000000000000028</v>
      </c>
      <c r="R146" s="90" t="s">
        <v>14</v>
      </c>
      <c r="S146" s="90"/>
    </row>
    <row r="147" spans="1:19" x14ac:dyDescent="0.25">
      <c r="A147" s="89" t="s">
        <v>287</v>
      </c>
      <c r="B147" s="90" t="s">
        <v>52</v>
      </c>
      <c r="C147" s="13">
        <v>41677</v>
      </c>
      <c r="D147" s="89" t="s">
        <v>358</v>
      </c>
      <c r="E147" s="13">
        <v>41696</v>
      </c>
      <c r="F147" s="95">
        <v>5080</v>
      </c>
      <c r="G147" s="12">
        <f>63+72+43</f>
        <v>178</v>
      </c>
      <c r="J147" s="12">
        <v>160.19999999999999</v>
      </c>
      <c r="L147" s="12">
        <f>G147-J147</f>
        <v>17.800000000000011</v>
      </c>
      <c r="M147" s="38">
        <f>72-64.8</f>
        <v>7.2000000000000028</v>
      </c>
      <c r="R147" s="90" t="s">
        <v>14</v>
      </c>
      <c r="S147" s="90"/>
    </row>
    <row r="148" spans="1:19" x14ac:dyDescent="0.25">
      <c r="A148" s="89" t="s">
        <v>287</v>
      </c>
      <c r="B148" s="90" t="s">
        <v>35</v>
      </c>
      <c r="C148" s="13">
        <v>41718</v>
      </c>
      <c r="D148" s="89" t="s">
        <v>446</v>
      </c>
      <c r="E148" s="13">
        <v>41719</v>
      </c>
      <c r="F148" s="95">
        <v>5080</v>
      </c>
      <c r="G148" s="12">
        <f>28+120</f>
        <v>148</v>
      </c>
      <c r="J148" s="98">
        <v>133.19999999999999</v>
      </c>
      <c r="L148" s="12">
        <f>G148-J148</f>
        <v>14.800000000000011</v>
      </c>
      <c r="R148" s="90" t="s">
        <v>14</v>
      </c>
      <c r="S148" s="90"/>
    </row>
    <row r="149" spans="1:19" ht="26.4" x14ac:dyDescent="0.25">
      <c r="A149" s="89" t="s">
        <v>287</v>
      </c>
      <c r="B149" s="90" t="s">
        <v>284</v>
      </c>
      <c r="C149" s="13">
        <v>41740</v>
      </c>
      <c r="D149" s="89" t="s">
        <v>447</v>
      </c>
      <c r="E149" s="13">
        <v>41786</v>
      </c>
      <c r="F149" s="11">
        <v>5080</v>
      </c>
      <c r="G149" s="96">
        <f>3*55+72+63+43</f>
        <v>343</v>
      </c>
      <c r="I149" s="12">
        <v>55</v>
      </c>
      <c r="J149" s="12">
        <v>259.2</v>
      </c>
      <c r="L149" s="12">
        <f>G149-I149-J149</f>
        <v>28.800000000000011</v>
      </c>
      <c r="R149" s="90" t="s">
        <v>14</v>
      </c>
      <c r="S149" s="90"/>
    </row>
    <row r="150" spans="1:19" x14ac:dyDescent="0.25">
      <c r="A150" s="89" t="s">
        <v>287</v>
      </c>
      <c r="B150" s="90" t="s">
        <v>63</v>
      </c>
      <c r="C150" s="13">
        <v>41740</v>
      </c>
      <c r="E150" s="13">
        <v>41786</v>
      </c>
      <c r="F150" s="11">
        <v>5080</v>
      </c>
      <c r="G150" s="96">
        <f>63+72+43</f>
        <v>178</v>
      </c>
      <c r="J150" s="12">
        <v>160.19999999999999</v>
      </c>
      <c r="L150" s="12">
        <f t="shared" ref="L150:L156" si="1">G150-I150-J150</f>
        <v>17.800000000000011</v>
      </c>
      <c r="R150" s="90" t="s">
        <v>14</v>
      </c>
      <c r="S150" s="90"/>
    </row>
    <row r="151" spans="1:19" x14ac:dyDescent="0.25">
      <c r="A151" s="89" t="s">
        <v>287</v>
      </c>
      <c r="B151" s="90" t="s">
        <v>63</v>
      </c>
      <c r="C151" s="13">
        <v>41761</v>
      </c>
      <c r="D151" s="89" t="s">
        <v>438</v>
      </c>
      <c r="E151" s="13">
        <v>41786</v>
      </c>
      <c r="F151" s="11">
        <v>5080</v>
      </c>
      <c r="G151" s="12">
        <v>179</v>
      </c>
      <c r="J151" s="12">
        <v>116.1</v>
      </c>
      <c r="L151" s="12">
        <f t="shared" si="1"/>
        <v>62.900000000000006</v>
      </c>
      <c r="R151" s="90" t="s">
        <v>14</v>
      </c>
      <c r="S151" s="90"/>
    </row>
    <row r="152" spans="1:19" ht="26.4" x14ac:dyDescent="0.25">
      <c r="A152" s="89" t="s">
        <v>287</v>
      </c>
      <c r="B152" s="90" t="s">
        <v>35</v>
      </c>
      <c r="C152" s="13">
        <v>41737</v>
      </c>
      <c r="D152" s="89" t="s">
        <v>449</v>
      </c>
      <c r="E152" s="13">
        <v>41754</v>
      </c>
      <c r="F152" s="11">
        <v>5080</v>
      </c>
      <c r="G152" s="12">
        <f>28+25+135+120</f>
        <v>308</v>
      </c>
      <c r="J152" s="74"/>
      <c r="L152" s="74"/>
      <c r="R152" s="90" t="s">
        <v>14</v>
      </c>
      <c r="S152" s="90"/>
    </row>
    <row r="153" spans="1:19" x14ac:dyDescent="0.25">
      <c r="A153" s="89" t="s">
        <v>287</v>
      </c>
      <c r="B153" s="90" t="s">
        <v>35</v>
      </c>
      <c r="C153" s="13">
        <v>41744</v>
      </c>
      <c r="D153" s="89" t="s">
        <v>448</v>
      </c>
      <c r="E153" s="13">
        <v>41786</v>
      </c>
      <c r="F153" s="11">
        <v>5080</v>
      </c>
      <c r="G153" s="97">
        <v>835</v>
      </c>
      <c r="J153" s="12">
        <v>751.5</v>
      </c>
      <c r="L153" s="12">
        <f t="shared" si="1"/>
        <v>83.5</v>
      </c>
      <c r="R153" s="90" t="s">
        <v>14</v>
      </c>
      <c r="S153" s="90"/>
    </row>
    <row r="154" spans="1:19" x14ac:dyDescent="0.25">
      <c r="A154" s="89" t="s">
        <v>287</v>
      </c>
      <c r="B154" s="90" t="s">
        <v>35</v>
      </c>
      <c r="C154" s="13">
        <v>41758</v>
      </c>
      <c r="D154" s="89" t="s">
        <v>438</v>
      </c>
      <c r="E154" s="13">
        <v>41786</v>
      </c>
      <c r="F154" s="11">
        <v>5080</v>
      </c>
      <c r="G154" s="12">
        <v>180</v>
      </c>
      <c r="J154" s="12">
        <v>162</v>
      </c>
      <c r="L154" s="12">
        <f t="shared" si="1"/>
        <v>18</v>
      </c>
      <c r="R154" s="90" t="s">
        <v>14</v>
      </c>
      <c r="S154" s="90"/>
    </row>
    <row r="155" spans="1:19" x14ac:dyDescent="0.25">
      <c r="A155" s="89" t="s">
        <v>287</v>
      </c>
      <c r="B155" s="90" t="s">
        <v>35</v>
      </c>
      <c r="C155" s="13">
        <v>41774</v>
      </c>
      <c r="D155" s="89" t="s">
        <v>439</v>
      </c>
      <c r="E155" s="13">
        <v>41786</v>
      </c>
      <c r="F155" s="11">
        <v>5080</v>
      </c>
      <c r="G155" s="12">
        <f>995+146</f>
        <v>1141</v>
      </c>
      <c r="J155" s="74">
        <v>255.1</v>
      </c>
      <c r="L155" s="12">
        <f t="shared" si="1"/>
        <v>885.9</v>
      </c>
      <c r="M155" s="10"/>
      <c r="N155" s="10"/>
      <c r="O155" s="10"/>
      <c r="P155" s="10"/>
      <c r="Q155" s="10"/>
      <c r="R155" s="90" t="s">
        <v>14</v>
      </c>
      <c r="S155" s="90"/>
    </row>
    <row r="156" spans="1:19" x14ac:dyDescent="0.25">
      <c r="A156" s="89" t="s">
        <v>440</v>
      </c>
      <c r="B156" s="90" t="s">
        <v>35</v>
      </c>
      <c r="C156" s="13">
        <v>41781</v>
      </c>
      <c r="D156" s="89" t="s">
        <v>441</v>
      </c>
      <c r="E156" s="13">
        <v>41796</v>
      </c>
      <c r="F156" s="11">
        <v>15905</v>
      </c>
      <c r="G156" s="12">
        <f>2400+450</f>
        <v>2850</v>
      </c>
      <c r="J156" s="102">
        <v>142.6</v>
      </c>
      <c r="K156" s="102"/>
      <c r="L156" s="102">
        <f t="shared" si="1"/>
        <v>2707.4</v>
      </c>
      <c r="M156" s="103"/>
      <c r="N156" s="102">
        <v>1350</v>
      </c>
      <c r="O156" s="13">
        <v>41782</v>
      </c>
      <c r="P156" s="91" t="s">
        <v>47</v>
      </c>
      <c r="Q156" s="92" t="s">
        <v>285</v>
      </c>
      <c r="R156" s="90" t="s">
        <v>442</v>
      </c>
      <c r="S156" s="90"/>
    </row>
    <row r="157" spans="1:19" x14ac:dyDescent="0.25">
      <c r="A157" s="89" t="s">
        <v>440</v>
      </c>
      <c r="B157" s="90"/>
      <c r="C157" s="13"/>
      <c r="D157" s="89"/>
      <c r="E157" s="13"/>
      <c r="J157" s="102"/>
      <c r="K157" s="102">
        <f>1370-M157</f>
        <v>12.599999999999909</v>
      </c>
      <c r="L157" s="102"/>
      <c r="M157" s="103">
        <f>L156-N156</f>
        <v>1357.4</v>
      </c>
      <c r="N157" s="104">
        <v>1370</v>
      </c>
      <c r="O157" s="13">
        <v>42105</v>
      </c>
      <c r="P157" s="91"/>
      <c r="Q157" s="92" t="s">
        <v>453</v>
      </c>
      <c r="R157" s="54" t="s">
        <v>14</v>
      </c>
      <c r="S157" s="54"/>
    </row>
    <row r="158" spans="1:19" x14ac:dyDescent="0.25">
      <c r="A158" s="9" t="s">
        <v>287</v>
      </c>
      <c r="B158" s="10" t="s">
        <v>35</v>
      </c>
      <c r="C158" s="13">
        <v>41789</v>
      </c>
      <c r="D158" s="9" t="s">
        <v>450</v>
      </c>
      <c r="E158" s="13">
        <v>41817</v>
      </c>
      <c r="F158" s="11">
        <v>5080</v>
      </c>
      <c r="G158" s="12">
        <v>219</v>
      </c>
      <c r="J158" s="74"/>
      <c r="L158" s="74"/>
      <c r="R158" s="10" t="s">
        <v>14</v>
      </c>
    </row>
    <row r="159" spans="1:19" x14ac:dyDescent="0.25">
      <c r="A159" s="9" t="s">
        <v>287</v>
      </c>
      <c r="B159" s="10" t="s">
        <v>33</v>
      </c>
      <c r="C159" s="13">
        <v>41789</v>
      </c>
      <c r="D159" s="9" t="s">
        <v>358</v>
      </c>
      <c r="E159" s="13">
        <v>41817</v>
      </c>
      <c r="F159" s="11">
        <v>5080</v>
      </c>
      <c r="G159" s="12">
        <f>63+95</f>
        <v>158</v>
      </c>
      <c r="J159" s="12">
        <v>142.19999999999999</v>
      </c>
      <c r="L159" s="12">
        <f>G159-J159</f>
        <v>15.800000000000011</v>
      </c>
      <c r="M159" s="38">
        <v>1246.5</v>
      </c>
      <c r="N159" s="99">
        <v>1246.5</v>
      </c>
      <c r="O159" s="13">
        <v>41812</v>
      </c>
      <c r="P159" s="91" t="s">
        <v>24</v>
      </c>
      <c r="Q159" s="92" t="s">
        <v>285</v>
      </c>
      <c r="R159" s="10" t="s">
        <v>14</v>
      </c>
    </row>
    <row r="160" spans="1:19" x14ac:dyDescent="0.25">
      <c r="A160" s="9" t="s">
        <v>287</v>
      </c>
      <c r="B160" s="10" t="s">
        <v>52</v>
      </c>
      <c r="C160" s="13">
        <v>41859</v>
      </c>
      <c r="D160" s="9" t="s">
        <v>358</v>
      </c>
      <c r="E160" s="13">
        <v>41878</v>
      </c>
      <c r="F160" s="11">
        <v>5080</v>
      </c>
      <c r="G160" s="12">
        <f>63+72+43</f>
        <v>178</v>
      </c>
      <c r="J160" s="12">
        <f>56.7+64.8+38.7</f>
        <v>160.19999999999999</v>
      </c>
      <c r="L160" s="12">
        <f>G160-J160</f>
        <v>17.800000000000011</v>
      </c>
      <c r="M160" s="38">
        <v>489.9</v>
      </c>
    </row>
    <row r="161" spans="1:20" x14ac:dyDescent="0.25">
      <c r="A161" s="9" t="s">
        <v>287</v>
      </c>
      <c r="B161" s="10" t="s">
        <v>35</v>
      </c>
      <c r="C161" s="13">
        <v>41872</v>
      </c>
      <c r="D161" s="9" t="s">
        <v>451</v>
      </c>
      <c r="E161" s="13">
        <v>41878</v>
      </c>
      <c r="F161" s="11">
        <v>5080</v>
      </c>
      <c r="G161" s="12">
        <f>995+995+1400+150</f>
        <v>3540</v>
      </c>
      <c r="J161" s="12">
        <f>255.1</f>
        <v>255.1</v>
      </c>
      <c r="L161" s="12">
        <f>G161-J161</f>
        <v>3284.9</v>
      </c>
      <c r="M161" s="38">
        <f>L161+M160+L160</f>
        <v>3792.6000000000004</v>
      </c>
      <c r="N161" s="12">
        <v>3792.6</v>
      </c>
      <c r="O161" s="13">
        <v>41966</v>
      </c>
      <c r="P161" s="13" t="s">
        <v>24</v>
      </c>
      <c r="Q161" s="63" t="s">
        <v>452</v>
      </c>
      <c r="R161" s="10" t="s">
        <v>14</v>
      </c>
    </row>
    <row r="162" spans="1:20" x14ac:dyDescent="0.25">
      <c r="A162" s="89" t="s">
        <v>287</v>
      </c>
      <c r="B162" s="90" t="s">
        <v>52</v>
      </c>
      <c r="C162" s="91" t="s">
        <v>80</v>
      </c>
      <c r="E162" s="13"/>
      <c r="J162" s="12">
        <v>258.3</v>
      </c>
    </row>
    <row r="163" spans="1:20" x14ac:dyDescent="0.25">
      <c r="A163" s="89" t="s">
        <v>287</v>
      </c>
      <c r="B163" s="90" t="s">
        <v>454</v>
      </c>
      <c r="C163" s="13">
        <v>42105</v>
      </c>
      <c r="D163" s="89" t="s">
        <v>455</v>
      </c>
      <c r="E163" s="13">
        <v>42094</v>
      </c>
      <c r="F163" s="11">
        <v>5080</v>
      </c>
      <c r="M163" s="38">
        <v>353.7</v>
      </c>
      <c r="N163" s="96" t="s">
        <v>456</v>
      </c>
    </row>
    <row r="164" spans="1:20" x14ac:dyDescent="0.25">
      <c r="A164" s="89" t="s">
        <v>457</v>
      </c>
      <c r="B164" s="90" t="s">
        <v>35</v>
      </c>
      <c r="C164" s="13">
        <v>42034</v>
      </c>
      <c r="D164" s="89" t="s">
        <v>417</v>
      </c>
      <c r="E164" s="13">
        <v>42172</v>
      </c>
      <c r="F164" s="11">
        <v>3099889012</v>
      </c>
      <c r="G164" s="12" t="s">
        <v>10</v>
      </c>
      <c r="H164" s="12" t="s">
        <v>10</v>
      </c>
      <c r="L164" s="12">
        <v>88.94</v>
      </c>
      <c r="N164" s="96"/>
      <c r="O164" s="13">
        <v>42203</v>
      </c>
      <c r="P164" s="91" t="s">
        <v>462</v>
      </c>
      <c r="Q164" s="92" t="s">
        <v>285</v>
      </c>
      <c r="R164" s="90" t="s">
        <v>14</v>
      </c>
      <c r="S164" s="91">
        <v>42205</v>
      </c>
    </row>
    <row r="165" spans="1:20" x14ac:dyDescent="0.25">
      <c r="A165" s="9" t="s">
        <v>457</v>
      </c>
      <c r="B165" s="10" t="s">
        <v>35</v>
      </c>
      <c r="C165" s="13">
        <v>42083</v>
      </c>
      <c r="D165" s="9" t="s">
        <v>417</v>
      </c>
      <c r="E165" s="13">
        <v>42152</v>
      </c>
      <c r="F165" s="11">
        <v>3218091650</v>
      </c>
      <c r="G165" s="12">
        <v>603.82000000000005</v>
      </c>
      <c r="H165" s="12">
        <v>505.34</v>
      </c>
      <c r="L165" s="12">
        <v>98.48</v>
      </c>
      <c r="O165" s="13">
        <v>42203</v>
      </c>
      <c r="P165" s="91" t="s">
        <v>462</v>
      </c>
      <c r="Q165" s="92" t="s">
        <v>285</v>
      </c>
      <c r="R165" s="90" t="s">
        <v>14</v>
      </c>
      <c r="S165" s="91">
        <v>42205</v>
      </c>
    </row>
    <row r="166" spans="1:20" x14ac:dyDescent="0.25">
      <c r="A166" s="89" t="s">
        <v>395</v>
      </c>
      <c r="B166" s="90" t="s">
        <v>35</v>
      </c>
      <c r="C166" s="13">
        <v>42133</v>
      </c>
      <c r="D166" s="89" t="s">
        <v>458</v>
      </c>
      <c r="E166" s="13">
        <v>42173</v>
      </c>
      <c r="F166" s="105" t="s">
        <v>459</v>
      </c>
      <c r="G166" s="12">
        <v>270.2</v>
      </c>
      <c r="H166" s="12">
        <v>36.51</v>
      </c>
      <c r="L166" s="12">
        <v>233.69</v>
      </c>
      <c r="O166" s="13">
        <v>42204</v>
      </c>
      <c r="P166" s="91" t="s">
        <v>24</v>
      </c>
      <c r="Q166" s="92" t="s">
        <v>285</v>
      </c>
      <c r="R166" s="90" t="s">
        <v>14</v>
      </c>
      <c r="S166" s="91">
        <v>42209</v>
      </c>
    </row>
    <row r="167" spans="1:20" ht="52.8" x14ac:dyDescent="0.25">
      <c r="A167" s="89" t="s">
        <v>163</v>
      </c>
      <c r="B167" s="90" t="s">
        <v>35</v>
      </c>
      <c r="C167" s="89" t="s">
        <v>460</v>
      </c>
      <c r="D167" s="89" t="s">
        <v>461</v>
      </c>
      <c r="E167" s="13">
        <v>42185</v>
      </c>
      <c r="F167" s="11">
        <v>27965</v>
      </c>
      <c r="G167" s="12">
        <f>178+13*(62+6)</f>
        <v>1062</v>
      </c>
      <c r="L167" s="12">
        <f>126.26+(46.36+3)*11</f>
        <v>669.22</v>
      </c>
      <c r="M167" s="38">
        <f>2*(49.36)</f>
        <v>98.72</v>
      </c>
      <c r="O167" s="13">
        <v>42204</v>
      </c>
      <c r="P167" s="91" t="s">
        <v>24</v>
      </c>
      <c r="Q167" s="92" t="s">
        <v>285</v>
      </c>
      <c r="R167" s="90" t="s">
        <v>14</v>
      </c>
      <c r="S167" s="91">
        <v>42210</v>
      </c>
    </row>
    <row r="168" spans="1:20" ht="26.4" x14ac:dyDescent="0.25">
      <c r="A168" s="9" t="s">
        <v>463</v>
      </c>
      <c r="B168" s="10" t="s">
        <v>35</v>
      </c>
      <c r="C168" s="13">
        <v>42171</v>
      </c>
      <c r="D168" s="9" t="s">
        <v>464</v>
      </c>
      <c r="E168" s="13">
        <v>42201</v>
      </c>
      <c r="F168" s="11">
        <v>12032</v>
      </c>
      <c r="G168" s="12">
        <f>246.94+1602.29+956+1860.65</f>
        <v>4665.88</v>
      </c>
      <c r="H168" s="12">
        <v>1750.64</v>
      </c>
      <c r="I168" s="12">
        <v>2507.27</v>
      </c>
      <c r="L168" s="12">
        <v>407.97</v>
      </c>
      <c r="N168" s="12">
        <v>407.97</v>
      </c>
      <c r="O168" s="13">
        <v>42296</v>
      </c>
      <c r="P168" s="13" t="s">
        <v>24</v>
      </c>
      <c r="Q168" s="92" t="s">
        <v>285</v>
      </c>
      <c r="R168" s="90" t="s">
        <v>14</v>
      </c>
      <c r="S168" s="91">
        <v>42300</v>
      </c>
    </row>
    <row r="169" spans="1:20" ht="52.8" x14ac:dyDescent="0.25">
      <c r="A169" s="9" t="s">
        <v>175</v>
      </c>
      <c r="B169" s="10" t="s">
        <v>465</v>
      </c>
      <c r="C169" s="10" t="s">
        <v>466</v>
      </c>
      <c r="D169" s="9" t="s">
        <v>467</v>
      </c>
      <c r="L169" s="12">
        <v>238.67</v>
      </c>
      <c r="N169" s="12">
        <v>240.96</v>
      </c>
      <c r="O169" s="13" t="s">
        <v>471</v>
      </c>
      <c r="P169" s="13" t="s">
        <v>510</v>
      </c>
      <c r="Q169" s="108" t="s">
        <v>492</v>
      </c>
      <c r="R169" s="10" t="s">
        <v>14</v>
      </c>
      <c r="S169" s="10" t="s">
        <v>512</v>
      </c>
    </row>
    <row r="170" spans="1:20" ht="39.6" x14ac:dyDescent="0.25">
      <c r="A170" s="9" t="s">
        <v>468</v>
      </c>
      <c r="B170" s="10" t="s">
        <v>35</v>
      </c>
      <c r="C170" s="13">
        <v>42101</v>
      </c>
      <c r="D170" s="9" t="s">
        <v>469</v>
      </c>
      <c r="E170" s="13">
        <v>42256</v>
      </c>
      <c r="F170" s="11" t="s">
        <v>470</v>
      </c>
      <c r="G170" s="12">
        <f>135+16</f>
        <v>151</v>
      </c>
      <c r="J170" s="12">
        <f>75.22+16</f>
        <v>91.22</v>
      </c>
      <c r="L170" s="12">
        <f>G170-J170</f>
        <v>59.78</v>
      </c>
      <c r="N170" s="12">
        <v>59.78</v>
      </c>
      <c r="O170" s="107" t="s">
        <v>483</v>
      </c>
      <c r="P170" s="107" t="s">
        <v>495</v>
      </c>
      <c r="Q170" s="91" t="s">
        <v>285</v>
      </c>
      <c r="R170" s="90" t="s">
        <v>14</v>
      </c>
      <c r="S170" s="91">
        <v>42299</v>
      </c>
      <c r="T170" s="9" t="s">
        <v>480</v>
      </c>
    </row>
    <row r="171" spans="1:20" ht="26.4" x14ac:dyDescent="0.25">
      <c r="A171" s="9" t="s">
        <v>161</v>
      </c>
      <c r="B171" s="10" t="s">
        <v>63</v>
      </c>
      <c r="C171" s="13">
        <v>42188</v>
      </c>
      <c r="D171" s="9" t="s">
        <v>472</v>
      </c>
      <c r="E171" s="13">
        <v>42249</v>
      </c>
      <c r="F171" s="11">
        <v>24816</v>
      </c>
      <c r="G171" s="12">
        <f>165+28</f>
        <v>193</v>
      </c>
      <c r="H171" s="12">
        <v>38.74</v>
      </c>
      <c r="J171" s="12">
        <v>138.84</v>
      </c>
      <c r="L171" s="12">
        <f>G171-H171-J171</f>
        <v>15.419999999999987</v>
      </c>
      <c r="N171" s="12">
        <v>15.42</v>
      </c>
      <c r="O171" s="13">
        <v>42286</v>
      </c>
      <c r="P171" s="13" t="s">
        <v>24</v>
      </c>
      <c r="Q171" s="63" t="s">
        <v>285</v>
      </c>
      <c r="R171" s="10" t="s">
        <v>14</v>
      </c>
      <c r="S171" s="13">
        <v>42294</v>
      </c>
    </row>
    <row r="172" spans="1:20" x14ac:dyDescent="0.25">
      <c r="A172" s="9" t="s">
        <v>163</v>
      </c>
      <c r="B172" s="10" t="s">
        <v>35</v>
      </c>
      <c r="C172" s="106" t="s">
        <v>473</v>
      </c>
      <c r="E172" s="13">
        <v>42248</v>
      </c>
      <c r="F172" s="11">
        <v>27965</v>
      </c>
      <c r="G172" s="12">
        <f>(62+6)*6</f>
        <v>408</v>
      </c>
      <c r="I172" s="12">
        <f>J172+L172</f>
        <v>296.15999999999997</v>
      </c>
      <c r="J172" s="12">
        <f>(41.73+2.7)*4</f>
        <v>177.72</v>
      </c>
      <c r="L172" s="12">
        <f>(46.36+3)*2+(4.63+0.3)*4</f>
        <v>118.44</v>
      </c>
      <c r="N172" s="12">
        <v>118.44</v>
      </c>
      <c r="O172" s="13">
        <v>42291</v>
      </c>
      <c r="P172" s="91" t="s">
        <v>24</v>
      </c>
      <c r="Q172" s="92" t="s">
        <v>285</v>
      </c>
      <c r="R172" s="90" t="s">
        <v>14</v>
      </c>
      <c r="S172" s="91">
        <v>42299</v>
      </c>
    </row>
    <row r="173" spans="1:20" x14ac:dyDescent="0.25">
      <c r="A173" s="9" t="s">
        <v>287</v>
      </c>
      <c r="B173" s="10" t="s">
        <v>474</v>
      </c>
      <c r="C173" s="10" t="s">
        <v>475</v>
      </c>
      <c r="E173" s="13">
        <v>42243</v>
      </c>
      <c r="F173" s="11">
        <v>5080</v>
      </c>
      <c r="G173" s="12" t="s">
        <v>80</v>
      </c>
      <c r="J173" s="12">
        <f>297+165.6</f>
        <v>462.6</v>
      </c>
      <c r="L173" s="12">
        <v>184</v>
      </c>
      <c r="N173" s="12">
        <v>184</v>
      </c>
      <c r="O173" s="13">
        <v>42292</v>
      </c>
      <c r="P173" s="13" t="s">
        <v>476</v>
      </c>
      <c r="Q173" s="92" t="s">
        <v>285</v>
      </c>
      <c r="R173" s="90" t="s">
        <v>14</v>
      </c>
      <c r="S173" s="91">
        <v>42315</v>
      </c>
    </row>
    <row r="174" spans="1:20" ht="26.4" x14ac:dyDescent="0.25">
      <c r="A174" s="9" t="s">
        <v>477</v>
      </c>
      <c r="B174" s="10" t="s">
        <v>33</v>
      </c>
      <c r="C174" s="16" t="s">
        <v>499</v>
      </c>
      <c r="D174" s="9" t="s">
        <v>478</v>
      </c>
      <c r="E174" s="13">
        <v>42262</v>
      </c>
      <c r="F174" s="11">
        <v>40855</v>
      </c>
      <c r="G174" s="12">
        <f>220</f>
        <v>220</v>
      </c>
      <c r="H174" s="12">
        <f>32.38</f>
        <v>32.380000000000003</v>
      </c>
      <c r="J174" s="12">
        <f>168.86</f>
        <v>168.86</v>
      </c>
      <c r="L174" s="12">
        <f>18.76</f>
        <v>18.760000000000002</v>
      </c>
      <c r="N174" s="12">
        <v>18.760000000000002</v>
      </c>
      <c r="O174" s="13">
        <v>42292</v>
      </c>
      <c r="P174" s="13" t="s">
        <v>24</v>
      </c>
      <c r="Q174" s="63" t="s">
        <v>285</v>
      </c>
      <c r="R174" s="10" t="s">
        <v>14</v>
      </c>
      <c r="S174" s="91">
        <v>42299</v>
      </c>
    </row>
    <row r="175" spans="1:20" x14ac:dyDescent="0.25">
      <c r="A175" s="9" t="s">
        <v>477</v>
      </c>
      <c r="B175" s="10" t="s">
        <v>35</v>
      </c>
      <c r="C175" s="13">
        <v>42245</v>
      </c>
      <c r="D175" s="9" t="s">
        <v>479</v>
      </c>
      <c r="E175" s="13">
        <v>42262</v>
      </c>
      <c r="F175" s="11">
        <v>40856</v>
      </c>
      <c r="G175" s="12">
        <v>170</v>
      </c>
      <c r="H175" s="12">
        <v>58.37</v>
      </c>
      <c r="J175" s="12">
        <v>100.47</v>
      </c>
      <c r="L175" s="12">
        <v>11.16</v>
      </c>
      <c r="N175" s="12">
        <v>11.16</v>
      </c>
      <c r="O175" s="13">
        <v>42292</v>
      </c>
      <c r="P175" s="13" t="s">
        <v>24</v>
      </c>
      <c r="Q175" s="63" t="s">
        <v>285</v>
      </c>
      <c r="R175" s="10" t="s">
        <v>14</v>
      </c>
      <c r="S175" s="91">
        <v>42299</v>
      </c>
    </row>
    <row r="176" spans="1:20" ht="26.4" x14ac:dyDescent="0.25">
      <c r="A176" s="89" t="s">
        <v>481</v>
      </c>
      <c r="B176" s="90" t="s">
        <v>35</v>
      </c>
      <c r="C176" s="13">
        <v>42101</v>
      </c>
      <c r="D176" s="89" t="s">
        <v>482</v>
      </c>
      <c r="E176" s="13">
        <v>42273</v>
      </c>
      <c r="F176" s="11">
        <v>2824</v>
      </c>
      <c r="G176" s="12">
        <v>744</v>
      </c>
      <c r="J176" s="12">
        <v>357.98</v>
      </c>
      <c r="L176" s="12">
        <v>386.02</v>
      </c>
      <c r="N176" s="12">
        <v>386.02</v>
      </c>
      <c r="O176" s="13">
        <v>42296</v>
      </c>
      <c r="P176" s="91" t="s">
        <v>24</v>
      </c>
      <c r="Q176" s="92" t="s">
        <v>285</v>
      </c>
      <c r="R176" s="90" t="s">
        <v>14</v>
      </c>
      <c r="S176" s="91">
        <v>42306</v>
      </c>
    </row>
    <row r="177" spans="1:19" ht="26.4" x14ac:dyDescent="0.25">
      <c r="A177" s="89" t="s">
        <v>389</v>
      </c>
      <c r="B177" s="90" t="s">
        <v>33</v>
      </c>
      <c r="C177" s="13">
        <v>42244</v>
      </c>
      <c r="D177" s="89" t="s">
        <v>485</v>
      </c>
      <c r="E177" s="13">
        <v>42285</v>
      </c>
      <c r="F177" s="105" t="s">
        <v>486</v>
      </c>
      <c r="G177" s="12">
        <v>1594.85</v>
      </c>
      <c r="H177" s="12">
        <v>706.76</v>
      </c>
      <c r="J177" s="12">
        <v>799.3</v>
      </c>
      <c r="L177" s="12">
        <v>88.79</v>
      </c>
      <c r="N177" s="12">
        <v>88.79</v>
      </c>
      <c r="O177" s="13">
        <v>42296</v>
      </c>
      <c r="P177" s="91" t="s">
        <v>24</v>
      </c>
      <c r="Q177" s="92" t="s">
        <v>285</v>
      </c>
      <c r="R177" s="90" t="s">
        <v>14</v>
      </c>
      <c r="S177" s="91">
        <v>42299</v>
      </c>
    </row>
    <row r="178" spans="1:19" ht="26.4" x14ac:dyDescent="0.25">
      <c r="A178" s="89" t="s">
        <v>389</v>
      </c>
      <c r="B178" s="90" t="s">
        <v>35</v>
      </c>
      <c r="C178" s="13">
        <v>42244</v>
      </c>
      <c r="D178" s="89" t="s">
        <v>487</v>
      </c>
      <c r="E178" s="13">
        <v>42285</v>
      </c>
      <c r="F178" s="105" t="s">
        <v>488</v>
      </c>
      <c r="G178" s="12">
        <v>1082.75</v>
      </c>
      <c r="H178" s="12">
        <v>507.59</v>
      </c>
      <c r="J178" s="12">
        <v>517.65</v>
      </c>
      <c r="L178" s="12">
        <v>57.51</v>
      </c>
      <c r="N178" s="12">
        <v>57.51</v>
      </c>
      <c r="O178" s="13">
        <v>42296</v>
      </c>
      <c r="P178" s="91" t="s">
        <v>24</v>
      </c>
      <c r="Q178" s="92" t="s">
        <v>285</v>
      </c>
      <c r="R178" s="90" t="s">
        <v>14</v>
      </c>
      <c r="S178" s="91">
        <v>42299</v>
      </c>
    </row>
    <row r="179" spans="1:19" ht="39.6" x14ac:dyDescent="0.25">
      <c r="A179" s="89" t="s">
        <v>489</v>
      </c>
      <c r="B179" s="90" t="s">
        <v>35</v>
      </c>
      <c r="C179" s="13">
        <v>42244</v>
      </c>
      <c r="D179" s="89" t="s">
        <v>490</v>
      </c>
      <c r="E179" s="13">
        <v>42284</v>
      </c>
      <c r="F179" s="95" t="s">
        <v>491</v>
      </c>
      <c r="G179" s="12">
        <v>380</v>
      </c>
      <c r="H179" s="12">
        <v>249.07</v>
      </c>
      <c r="J179" s="12">
        <v>117.84</v>
      </c>
      <c r="L179" s="12">
        <v>13.09</v>
      </c>
      <c r="N179" s="12">
        <v>13.09</v>
      </c>
      <c r="O179" s="13">
        <v>42296</v>
      </c>
      <c r="P179" s="91" t="s">
        <v>24</v>
      </c>
      <c r="Q179" s="92" t="s">
        <v>285</v>
      </c>
      <c r="R179" s="90" t="s">
        <v>14</v>
      </c>
      <c r="S179" s="91">
        <v>42305</v>
      </c>
    </row>
    <row r="180" spans="1:19" x14ac:dyDescent="0.25">
      <c r="A180" s="89" t="s">
        <v>389</v>
      </c>
      <c r="B180" s="90" t="s">
        <v>63</v>
      </c>
      <c r="C180" s="13">
        <v>42198</v>
      </c>
      <c r="D180" s="89" t="s">
        <v>493</v>
      </c>
      <c r="E180" s="13">
        <v>42289</v>
      </c>
      <c r="F180" s="105" t="s">
        <v>494</v>
      </c>
      <c r="G180" s="12">
        <v>266.75</v>
      </c>
      <c r="J180" s="12">
        <v>250.17</v>
      </c>
      <c r="L180" s="12">
        <v>16.579999999999998</v>
      </c>
      <c r="N180" s="12">
        <v>16.579999999999998</v>
      </c>
      <c r="O180" s="13">
        <v>42296</v>
      </c>
      <c r="P180" s="91" t="s">
        <v>24</v>
      </c>
      <c r="Q180" s="92" t="s">
        <v>285</v>
      </c>
      <c r="R180" s="90" t="s">
        <v>14</v>
      </c>
      <c r="S180" s="91">
        <v>42299</v>
      </c>
    </row>
    <row r="181" spans="1:19" ht="26.4" x14ac:dyDescent="0.25">
      <c r="A181" s="9" t="s">
        <v>161</v>
      </c>
      <c r="B181" s="10" t="s">
        <v>496</v>
      </c>
      <c r="C181" s="13">
        <v>42247</v>
      </c>
      <c r="D181" s="9" t="s">
        <v>497</v>
      </c>
      <c r="E181" s="13">
        <v>42284</v>
      </c>
      <c r="F181" s="11">
        <v>24816</v>
      </c>
      <c r="G181" s="12">
        <f>165+28+165+165</f>
        <v>523</v>
      </c>
      <c r="H181" s="12">
        <f>38.74+38.74+38.74</f>
        <v>116.22</v>
      </c>
      <c r="J181" s="12">
        <f>138.84+113.64+113.64</f>
        <v>366.12</v>
      </c>
      <c r="L181" s="12">
        <f>15.42+12.62+12.62</f>
        <v>40.659999999999997</v>
      </c>
      <c r="M181" s="38">
        <v>-15.42</v>
      </c>
      <c r="N181" s="12">
        <v>25.24</v>
      </c>
      <c r="O181" s="13">
        <v>42297</v>
      </c>
      <c r="P181" s="13" t="s">
        <v>24</v>
      </c>
      <c r="Q181" s="63" t="s">
        <v>285</v>
      </c>
      <c r="R181" s="10" t="s">
        <v>498</v>
      </c>
      <c r="S181" s="13">
        <v>42302</v>
      </c>
    </row>
    <row r="182" spans="1:19" ht="26.4" x14ac:dyDescent="0.25">
      <c r="A182" s="9" t="s">
        <v>500</v>
      </c>
      <c r="B182" s="10" t="s">
        <v>33</v>
      </c>
      <c r="C182" s="13">
        <v>42256</v>
      </c>
      <c r="D182" s="9" t="s">
        <v>501</v>
      </c>
      <c r="E182" s="13">
        <v>42267</v>
      </c>
      <c r="F182" s="11" t="s">
        <v>502</v>
      </c>
      <c r="G182" s="12">
        <f>350+173</f>
        <v>523</v>
      </c>
      <c r="H182" s="12">
        <v>57.71</v>
      </c>
      <c r="J182" s="12">
        <v>418.77</v>
      </c>
      <c r="L182" s="12">
        <v>46.52</v>
      </c>
      <c r="N182" s="12">
        <v>46.52</v>
      </c>
      <c r="O182" s="13">
        <v>42299</v>
      </c>
      <c r="P182" s="13" t="s">
        <v>510</v>
      </c>
      <c r="Q182" s="63" t="s">
        <v>285</v>
      </c>
      <c r="R182" s="10" t="s">
        <v>14</v>
      </c>
      <c r="S182" s="13">
        <v>42302</v>
      </c>
    </row>
    <row r="183" spans="1:19" ht="26.4" x14ac:dyDescent="0.25">
      <c r="A183" s="9" t="s">
        <v>503</v>
      </c>
      <c r="B183" s="10" t="s">
        <v>33</v>
      </c>
      <c r="C183" s="13">
        <v>42062</v>
      </c>
      <c r="D183" s="9" t="s">
        <v>504</v>
      </c>
      <c r="E183" s="13">
        <v>42282</v>
      </c>
      <c r="G183" s="12">
        <v>460</v>
      </c>
      <c r="H183" s="12">
        <v>296.52</v>
      </c>
      <c r="J183" s="12" t="s">
        <v>80</v>
      </c>
      <c r="L183" s="12">
        <v>163.47999999999999</v>
      </c>
      <c r="N183" s="12">
        <v>163.47999999999999</v>
      </c>
      <c r="O183" s="13">
        <v>42299</v>
      </c>
      <c r="P183" s="13" t="s">
        <v>24</v>
      </c>
      <c r="Q183" s="63" t="s">
        <v>285</v>
      </c>
      <c r="R183" s="10" t="s">
        <v>14</v>
      </c>
      <c r="S183" s="13">
        <v>42308</v>
      </c>
    </row>
    <row r="184" spans="1:19" x14ac:dyDescent="0.25">
      <c r="A184" s="9" t="s">
        <v>477</v>
      </c>
      <c r="B184" s="10" t="s">
        <v>33</v>
      </c>
      <c r="C184" s="16">
        <v>42248</v>
      </c>
      <c r="D184" s="9" t="s">
        <v>505</v>
      </c>
      <c r="E184" s="13">
        <v>42292</v>
      </c>
      <c r="F184" s="11">
        <v>40855</v>
      </c>
      <c r="G184" s="12">
        <f>150</f>
        <v>150</v>
      </c>
      <c r="H184" s="12">
        <f>23.74</f>
        <v>23.74</v>
      </c>
      <c r="J184" s="12">
        <f>113.64</f>
        <v>113.64</v>
      </c>
      <c r="L184" s="12">
        <f>12.62</f>
        <v>12.62</v>
      </c>
      <c r="N184" s="12">
        <v>12.62</v>
      </c>
      <c r="O184" s="13">
        <v>42299</v>
      </c>
      <c r="P184" s="13" t="s">
        <v>24</v>
      </c>
      <c r="Q184" s="63" t="s">
        <v>285</v>
      </c>
      <c r="R184" s="10" t="s">
        <v>14</v>
      </c>
      <c r="S184" s="13">
        <v>42306</v>
      </c>
    </row>
    <row r="185" spans="1:19" ht="26.4" x14ac:dyDescent="0.25">
      <c r="A185" s="9" t="s">
        <v>506</v>
      </c>
      <c r="B185" s="10" t="s">
        <v>33</v>
      </c>
      <c r="C185" s="13">
        <v>42244</v>
      </c>
      <c r="D185" s="9" t="s">
        <v>507</v>
      </c>
      <c r="E185" s="13">
        <v>42275</v>
      </c>
      <c r="F185" s="11" t="s">
        <v>508</v>
      </c>
      <c r="G185" s="12">
        <f>733.92+88.06</f>
        <v>821.98</v>
      </c>
      <c r="J185" s="12">
        <f>660.53+79.26</f>
        <v>739.79</v>
      </c>
      <c r="L185" s="12">
        <v>82.19</v>
      </c>
      <c r="N185" s="12">
        <v>82.19</v>
      </c>
      <c r="O185" s="13">
        <v>42299</v>
      </c>
      <c r="P185" s="13" t="s">
        <v>24</v>
      </c>
      <c r="Q185" s="63" t="s">
        <v>285</v>
      </c>
      <c r="R185" s="10" t="s">
        <v>14</v>
      </c>
      <c r="S185" s="13">
        <v>42306</v>
      </c>
    </row>
    <row r="186" spans="1:19" ht="26.4" x14ac:dyDescent="0.25">
      <c r="A186" s="9" t="s">
        <v>506</v>
      </c>
      <c r="B186" s="10" t="s">
        <v>35</v>
      </c>
      <c r="C186" s="13">
        <v>42244</v>
      </c>
      <c r="D186" s="9" t="s">
        <v>507</v>
      </c>
      <c r="E186" s="13">
        <v>42275</v>
      </c>
      <c r="F186" s="11" t="s">
        <v>509</v>
      </c>
      <c r="G186" s="12">
        <f>733.92+88.06</f>
        <v>821.98</v>
      </c>
      <c r="J186" s="12">
        <f>660.53+79.26</f>
        <v>739.79</v>
      </c>
      <c r="L186" s="12">
        <v>82.19</v>
      </c>
      <c r="N186" s="12">
        <v>82.19</v>
      </c>
      <c r="O186" s="13">
        <v>42299</v>
      </c>
      <c r="P186" s="13" t="s">
        <v>24</v>
      </c>
      <c r="Q186" s="63" t="s">
        <v>285</v>
      </c>
      <c r="R186" s="10" t="s">
        <v>14</v>
      </c>
      <c r="S186" s="13">
        <v>42306</v>
      </c>
    </row>
    <row r="187" spans="1:19" ht="39.6" x14ac:dyDescent="0.25">
      <c r="A187" s="89" t="s">
        <v>489</v>
      </c>
      <c r="B187" s="90" t="s">
        <v>33</v>
      </c>
      <c r="C187" s="13">
        <v>42244</v>
      </c>
      <c r="D187" s="89" t="s">
        <v>490</v>
      </c>
      <c r="E187" s="13">
        <v>42292</v>
      </c>
      <c r="F187" s="95" t="s">
        <v>511</v>
      </c>
      <c r="G187" s="12">
        <v>380</v>
      </c>
      <c r="H187" s="12">
        <v>249.07</v>
      </c>
      <c r="J187" s="12">
        <v>117.84</v>
      </c>
      <c r="L187" s="12">
        <v>13.09</v>
      </c>
      <c r="N187" s="12">
        <v>13.09</v>
      </c>
      <c r="O187" s="13">
        <v>42301</v>
      </c>
      <c r="P187" s="91" t="s">
        <v>24</v>
      </c>
      <c r="Q187" s="92" t="s">
        <v>285</v>
      </c>
      <c r="R187" s="90" t="s">
        <v>14</v>
      </c>
      <c r="S187" s="91">
        <v>42313</v>
      </c>
    </row>
    <row r="188" spans="1:19" ht="26.4" x14ac:dyDescent="0.25">
      <c r="A188" s="9" t="s">
        <v>500</v>
      </c>
      <c r="B188" s="10" t="s">
        <v>33</v>
      </c>
      <c r="C188" s="10" t="s">
        <v>514</v>
      </c>
      <c r="D188" s="9" t="s">
        <v>515</v>
      </c>
      <c r="E188" s="13">
        <v>41216</v>
      </c>
      <c r="F188" s="11" t="s">
        <v>502</v>
      </c>
      <c r="G188" s="12">
        <f>89+167</f>
        <v>256</v>
      </c>
      <c r="H188" s="12">
        <f>42.88</f>
        <v>42.88</v>
      </c>
      <c r="J188" s="12">
        <f>46.12+150.3</f>
        <v>196.42000000000002</v>
      </c>
      <c r="L188" s="12">
        <f>G188-H188-J188</f>
        <v>16.699999999999989</v>
      </c>
      <c r="N188" s="12">
        <v>16.7</v>
      </c>
      <c r="O188" s="13">
        <v>42313</v>
      </c>
      <c r="P188" s="13" t="s">
        <v>24</v>
      </c>
      <c r="Q188" s="63" t="s">
        <v>285</v>
      </c>
      <c r="R188" s="10" t="s">
        <v>14</v>
      </c>
      <c r="S188" s="13">
        <v>42326</v>
      </c>
    </row>
    <row r="189" spans="1:19" ht="39.6" x14ac:dyDescent="0.25">
      <c r="A189" s="9" t="s">
        <v>389</v>
      </c>
      <c r="B189" s="10" t="s">
        <v>33</v>
      </c>
      <c r="C189" s="13">
        <v>42278</v>
      </c>
      <c r="D189" s="9" t="s">
        <v>516</v>
      </c>
      <c r="E189" s="13">
        <v>42320</v>
      </c>
      <c r="F189" s="11">
        <v>10004069067</v>
      </c>
      <c r="G189" s="12">
        <v>1263.05</v>
      </c>
      <c r="J189" s="12">
        <v>1136.75</v>
      </c>
      <c r="L189" s="12">
        <f>G189-J189</f>
        <v>126.29999999999995</v>
      </c>
      <c r="N189" s="12">
        <v>126.3</v>
      </c>
      <c r="O189" s="13">
        <v>42314</v>
      </c>
      <c r="P189" s="13" t="s">
        <v>24</v>
      </c>
      <c r="Q189" s="63" t="s">
        <v>285</v>
      </c>
      <c r="R189" s="10" t="s">
        <v>14</v>
      </c>
      <c r="S189" s="13">
        <v>42327</v>
      </c>
    </row>
    <row r="190" spans="1:19" x14ac:dyDescent="0.25">
      <c r="A190" s="9" t="s">
        <v>163</v>
      </c>
      <c r="B190" s="10" t="s">
        <v>33</v>
      </c>
      <c r="C190" s="13">
        <v>42249</v>
      </c>
      <c r="D190" s="9" t="s">
        <v>497</v>
      </c>
      <c r="E190" s="13">
        <v>42306</v>
      </c>
      <c r="F190" s="11">
        <v>26357</v>
      </c>
      <c r="G190" s="12">
        <v>262</v>
      </c>
      <c r="J190" s="12">
        <v>166.74</v>
      </c>
      <c r="L190" s="12">
        <v>18.52</v>
      </c>
      <c r="N190" s="12">
        <v>18.52</v>
      </c>
      <c r="O190" s="13">
        <v>42321</v>
      </c>
      <c r="P190" s="13" t="s">
        <v>24</v>
      </c>
      <c r="Q190" s="63" t="s">
        <v>285</v>
      </c>
      <c r="R190" s="10" t="s">
        <v>14</v>
      </c>
      <c r="S190" s="13">
        <v>42327</v>
      </c>
    </row>
    <row r="191" spans="1:19" x14ac:dyDescent="0.25">
      <c r="A191" s="9" t="s">
        <v>163</v>
      </c>
      <c r="B191" s="10" t="s">
        <v>35</v>
      </c>
      <c r="C191" s="10" t="s">
        <v>517</v>
      </c>
      <c r="E191" s="13">
        <v>42306</v>
      </c>
      <c r="F191" s="11">
        <v>27965</v>
      </c>
      <c r="G191" s="12">
        <v>774</v>
      </c>
      <c r="J191" s="12">
        <f>421+230</f>
        <v>651</v>
      </c>
      <c r="L191" s="12">
        <v>39.380000000000003</v>
      </c>
      <c r="N191" s="12">
        <v>39.380000000000003</v>
      </c>
      <c r="O191" s="13">
        <v>42321</v>
      </c>
      <c r="P191" s="13" t="s">
        <v>24</v>
      </c>
      <c r="Q191" s="63" t="s">
        <v>285</v>
      </c>
      <c r="R191" s="10" t="s">
        <v>14</v>
      </c>
      <c r="S191" s="13">
        <v>42327</v>
      </c>
    </row>
    <row r="192" spans="1:19" ht="52.8" x14ac:dyDescent="0.25">
      <c r="A192" s="89" t="s">
        <v>243</v>
      </c>
      <c r="B192" s="10" t="s">
        <v>33</v>
      </c>
      <c r="C192" s="13" t="s">
        <v>520</v>
      </c>
      <c r="D192" s="9" t="s">
        <v>521</v>
      </c>
      <c r="E192" s="13">
        <v>42318</v>
      </c>
      <c r="G192" s="12" t="s">
        <v>80</v>
      </c>
      <c r="L192" s="12">
        <v>34.53</v>
      </c>
      <c r="N192" s="12">
        <v>34.53</v>
      </c>
      <c r="O192" s="91">
        <v>42325</v>
      </c>
      <c r="P192" s="91" t="s">
        <v>522</v>
      </c>
      <c r="Q192" s="92" t="s">
        <v>285</v>
      </c>
      <c r="R192" s="90" t="s">
        <v>14</v>
      </c>
      <c r="S192" s="90" t="s">
        <v>523</v>
      </c>
    </row>
    <row r="193" spans="1:18" ht="39.6" x14ac:dyDescent="0.25">
      <c r="A193" s="9" t="s">
        <v>287</v>
      </c>
      <c r="B193" s="9" t="s">
        <v>524</v>
      </c>
      <c r="C193" s="13">
        <v>42359</v>
      </c>
      <c r="D193" s="9" t="s">
        <v>525</v>
      </c>
      <c r="E193" s="13">
        <v>42361</v>
      </c>
      <c r="F193" s="11">
        <v>5080</v>
      </c>
      <c r="G193" s="12">
        <v>788</v>
      </c>
      <c r="J193" s="12">
        <v>709.2</v>
      </c>
      <c r="L193" s="12">
        <v>78.8</v>
      </c>
      <c r="N193" s="12" t="s">
        <v>527</v>
      </c>
      <c r="O193" s="13">
        <v>42414</v>
      </c>
      <c r="P193" s="16" t="s">
        <v>528</v>
      </c>
      <c r="Q193" s="63" t="s">
        <v>285</v>
      </c>
      <c r="R193" s="10" t="s">
        <v>14</v>
      </c>
    </row>
    <row r="194" spans="1:18" x14ac:dyDescent="0.25">
      <c r="A194" s="9" t="s">
        <v>287</v>
      </c>
      <c r="B194" s="10" t="s">
        <v>33</v>
      </c>
      <c r="C194" s="13">
        <v>42382</v>
      </c>
      <c r="D194" s="9" t="s">
        <v>526</v>
      </c>
      <c r="E194" s="13">
        <v>42397</v>
      </c>
      <c r="F194" s="11">
        <v>5080</v>
      </c>
      <c r="G194" s="12">
        <f>95*2</f>
        <v>190</v>
      </c>
      <c r="J194" s="12">
        <v>126</v>
      </c>
      <c r="L194" s="12">
        <f>G194-J194</f>
        <v>64</v>
      </c>
      <c r="M194" s="38">
        <v>78.8</v>
      </c>
      <c r="N194" s="12">
        <v>142.80000000000001</v>
      </c>
      <c r="O194" s="13">
        <v>42414</v>
      </c>
      <c r="P194" s="13" t="s">
        <v>24</v>
      </c>
      <c r="Q194" s="63" t="s">
        <v>285</v>
      </c>
      <c r="R194" s="10" t="s">
        <v>14</v>
      </c>
    </row>
  </sheetData>
  <autoFilter ref="A5:T192"/>
  <mergeCells count="23">
    <mergeCell ref="Q85:Q87"/>
    <mergeCell ref="N69:N71"/>
    <mergeCell ref="O69:O71"/>
    <mergeCell ref="P69:P71"/>
    <mergeCell ref="Q69:Q71"/>
    <mergeCell ref="N76:N79"/>
    <mergeCell ref="O76:O79"/>
    <mergeCell ref="P76:P79"/>
    <mergeCell ref="Q76:Q79"/>
    <mergeCell ref="N101:N103"/>
    <mergeCell ref="N106:N107"/>
    <mergeCell ref="P101:P103"/>
    <mergeCell ref="Q101:Q103"/>
    <mergeCell ref="N93:N95"/>
    <mergeCell ref="O93:O95"/>
    <mergeCell ref="P93:P95"/>
    <mergeCell ref="Q93:Q95"/>
    <mergeCell ref="P142:Q142"/>
    <mergeCell ref="O129:O130"/>
    <mergeCell ref="N129:N130"/>
    <mergeCell ref="N123:N127"/>
    <mergeCell ref="N114:N117"/>
    <mergeCell ref="N136:N140"/>
  </mergeCells>
  <phoneticPr fontId="2" type="noConversion"/>
  <pageMargins left="0.5" right="0.5" top="0.5" bottom="0.5" header="0.25" footer="0.25"/>
  <pageSetup scale="47" fitToHeight="0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4:R93"/>
  <sheetViews>
    <sheetView workbookViewId="0">
      <pane xSplit="2" ySplit="4" topLeftCell="C70" activePane="bottomRight" state="frozen"/>
      <selection pane="topRight" activeCell="C1" sqref="C1"/>
      <selection pane="bottomLeft" activeCell="A5" sqref="A5"/>
      <selection pane="bottomRight" activeCell="J93" sqref="J93"/>
    </sheetView>
  </sheetViews>
  <sheetFormatPr defaultRowHeight="13.2" x14ac:dyDescent="0.25"/>
  <cols>
    <col min="1" max="1" width="15.6640625" customWidth="1"/>
    <col min="3" max="3" width="34.33203125" bestFit="1" customWidth="1"/>
    <col min="4" max="4" width="10.109375" bestFit="1" customWidth="1"/>
    <col min="5" max="5" width="4.5546875" customWidth="1"/>
    <col min="6" max="6" width="9.109375" style="36"/>
    <col min="7" max="7" width="16.44140625" bestFit="1" customWidth="1"/>
    <col min="8" max="8" width="10.109375" bestFit="1" customWidth="1"/>
    <col min="9" max="9" width="22.109375" bestFit="1" customWidth="1"/>
    <col min="10" max="10" width="10.5546875" bestFit="1" customWidth="1"/>
  </cols>
  <sheetData>
    <row r="4" spans="1:10" x14ac:dyDescent="0.25">
      <c r="A4" t="s">
        <v>108</v>
      </c>
      <c r="B4" t="s">
        <v>110</v>
      </c>
      <c r="E4" s="75" t="s">
        <v>403</v>
      </c>
      <c r="F4" s="36" t="s">
        <v>107</v>
      </c>
      <c r="G4" t="s">
        <v>183</v>
      </c>
      <c r="H4" t="s">
        <v>20</v>
      </c>
      <c r="I4" t="s">
        <v>5</v>
      </c>
      <c r="J4" t="s">
        <v>109</v>
      </c>
    </row>
    <row r="5" spans="1:10" x14ac:dyDescent="0.25">
      <c r="H5">
        <v>526.97</v>
      </c>
    </row>
    <row r="6" spans="1:10" x14ac:dyDescent="0.25">
      <c r="A6" s="1">
        <v>39234</v>
      </c>
      <c r="B6">
        <v>101</v>
      </c>
      <c r="C6" t="s">
        <v>111</v>
      </c>
      <c r="D6" t="s">
        <v>35</v>
      </c>
      <c r="F6" s="36">
        <v>143.76</v>
      </c>
      <c r="H6" s="3">
        <f>H5-F6</f>
        <v>383.21000000000004</v>
      </c>
      <c r="J6">
        <v>881981</v>
      </c>
    </row>
    <row r="7" spans="1:10" x14ac:dyDescent="0.25">
      <c r="A7" s="1"/>
      <c r="H7" s="3">
        <v>488.47</v>
      </c>
    </row>
    <row r="8" spans="1:10" x14ac:dyDescent="0.25">
      <c r="A8" s="1">
        <v>39273</v>
      </c>
      <c r="B8">
        <v>102</v>
      </c>
      <c r="C8" t="s">
        <v>112</v>
      </c>
      <c r="D8" t="s">
        <v>35</v>
      </c>
      <c r="F8" s="36">
        <v>450</v>
      </c>
      <c r="H8" s="3">
        <f>H7-F8</f>
        <v>38.470000000000027</v>
      </c>
    </row>
    <row r="9" spans="1:10" x14ac:dyDescent="0.25">
      <c r="A9" s="1"/>
      <c r="H9" s="3"/>
    </row>
    <row r="10" spans="1:10" x14ac:dyDescent="0.25">
      <c r="A10" s="1">
        <v>39359</v>
      </c>
      <c r="B10">
        <v>103</v>
      </c>
      <c r="C10" t="s">
        <v>113</v>
      </c>
      <c r="D10" t="s">
        <v>33</v>
      </c>
      <c r="F10" s="36">
        <v>40</v>
      </c>
      <c r="H10" s="3">
        <f>H8-F10</f>
        <v>-1.5299999999999727</v>
      </c>
    </row>
    <row r="11" spans="1:10" x14ac:dyDescent="0.25">
      <c r="A11" s="1">
        <v>39371</v>
      </c>
      <c r="B11">
        <v>104</v>
      </c>
      <c r="C11" t="s">
        <v>114</v>
      </c>
      <c r="D11" s="10" t="s">
        <v>63</v>
      </c>
      <c r="E11" s="10"/>
      <c r="F11" s="36">
        <v>21.15</v>
      </c>
      <c r="H11" s="3">
        <f>H10-F11</f>
        <v>-22.679999999999971</v>
      </c>
    </row>
    <row r="12" spans="1:10" x14ac:dyDescent="0.25">
      <c r="A12" s="1">
        <v>39371</v>
      </c>
      <c r="B12">
        <v>105</v>
      </c>
      <c r="C12" t="s">
        <v>115</v>
      </c>
      <c r="D12" t="s">
        <v>35</v>
      </c>
      <c r="F12" s="36">
        <v>97.63</v>
      </c>
      <c r="H12" s="3">
        <f>H11-F12</f>
        <v>-120.30999999999997</v>
      </c>
    </row>
    <row r="13" spans="1:10" x14ac:dyDescent="0.25">
      <c r="A13" s="1">
        <v>39400</v>
      </c>
      <c r="H13">
        <v>481.4</v>
      </c>
    </row>
    <row r="14" spans="1:10" x14ac:dyDescent="0.25">
      <c r="A14" s="1">
        <v>39401</v>
      </c>
      <c r="C14" t="s">
        <v>2</v>
      </c>
      <c r="F14" s="36">
        <v>12.81</v>
      </c>
      <c r="G14" s="3"/>
      <c r="H14" s="3">
        <f t="shared" ref="H14:H25" si="0">H13-F14</f>
        <v>468.59</v>
      </c>
      <c r="I14" s="1">
        <v>39324</v>
      </c>
      <c r="J14" s="5">
        <v>62300637</v>
      </c>
    </row>
    <row r="15" spans="1:10" x14ac:dyDescent="0.25">
      <c r="A15" s="1">
        <v>39401</v>
      </c>
      <c r="C15" t="s">
        <v>2</v>
      </c>
      <c r="F15" s="36">
        <v>12.81</v>
      </c>
      <c r="G15" s="3"/>
      <c r="H15" s="3">
        <f t="shared" si="0"/>
        <v>455.78</v>
      </c>
      <c r="I15" s="1">
        <v>39338</v>
      </c>
      <c r="J15" s="4">
        <v>62354139</v>
      </c>
    </row>
    <row r="16" spans="1:10" x14ac:dyDescent="0.25">
      <c r="A16" s="1">
        <v>39401</v>
      </c>
      <c r="C16" t="s">
        <v>2</v>
      </c>
      <c r="F16" s="36">
        <v>12.81</v>
      </c>
      <c r="G16" s="3"/>
      <c r="H16" s="3">
        <f t="shared" si="0"/>
        <v>442.96999999999997</v>
      </c>
      <c r="I16" s="1">
        <v>39366</v>
      </c>
      <c r="J16" s="6">
        <v>62505789</v>
      </c>
    </row>
    <row r="17" spans="1:10" x14ac:dyDescent="0.25">
      <c r="A17" s="1">
        <v>39401</v>
      </c>
      <c r="C17" t="s">
        <v>2</v>
      </c>
      <c r="F17" s="36">
        <v>12.81</v>
      </c>
      <c r="G17" s="3"/>
      <c r="H17" s="3">
        <f t="shared" si="0"/>
        <v>430.15999999999997</v>
      </c>
      <c r="I17" s="1">
        <v>39371</v>
      </c>
      <c r="J17" s="7">
        <v>62513007</v>
      </c>
    </row>
    <row r="18" spans="1:10" x14ac:dyDescent="0.25">
      <c r="A18" s="1">
        <v>39401</v>
      </c>
      <c r="C18" t="s">
        <v>2</v>
      </c>
      <c r="D18" t="s">
        <v>33</v>
      </c>
      <c r="F18" s="36">
        <v>23.83</v>
      </c>
      <c r="G18" s="3"/>
      <c r="H18" s="3">
        <f t="shared" si="0"/>
        <v>406.33</v>
      </c>
      <c r="I18" s="1">
        <v>39378</v>
      </c>
      <c r="J18" s="2">
        <v>62544697</v>
      </c>
    </row>
    <row r="19" spans="1:10" x14ac:dyDescent="0.25">
      <c r="A19" s="1">
        <v>39401</v>
      </c>
      <c r="C19" t="s">
        <v>2</v>
      </c>
      <c r="D19" t="s">
        <v>33</v>
      </c>
      <c r="F19" s="36">
        <v>11.02</v>
      </c>
      <c r="G19" s="3"/>
      <c r="H19" s="3">
        <f t="shared" si="0"/>
        <v>395.31</v>
      </c>
      <c r="I19" s="1">
        <v>39387</v>
      </c>
      <c r="J19" s="2">
        <v>62642871</v>
      </c>
    </row>
    <row r="20" spans="1:10" x14ac:dyDescent="0.25">
      <c r="A20" s="1">
        <v>39401</v>
      </c>
      <c r="C20" t="s">
        <v>2</v>
      </c>
      <c r="D20" t="s">
        <v>33</v>
      </c>
      <c r="F20" s="36">
        <v>35.97</v>
      </c>
      <c r="G20" s="3"/>
      <c r="H20" s="3">
        <f t="shared" si="0"/>
        <v>359.34000000000003</v>
      </c>
      <c r="I20" s="1">
        <v>39394</v>
      </c>
      <c r="J20" s="2">
        <v>62673975</v>
      </c>
    </row>
    <row r="21" spans="1:10" x14ac:dyDescent="0.25">
      <c r="A21" s="1">
        <v>39401</v>
      </c>
      <c r="C21" t="s">
        <v>2</v>
      </c>
      <c r="D21" t="s">
        <v>33</v>
      </c>
      <c r="F21" s="36">
        <v>103.29</v>
      </c>
      <c r="G21" s="3"/>
      <c r="H21" s="3">
        <f t="shared" si="0"/>
        <v>256.05</v>
      </c>
      <c r="I21" s="1">
        <v>39400</v>
      </c>
      <c r="J21" s="2">
        <v>62653100</v>
      </c>
    </row>
    <row r="22" spans="1:10" x14ac:dyDescent="0.25">
      <c r="A22" s="1">
        <v>39405</v>
      </c>
      <c r="C22" t="s">
        <v>21</v>
      </c>
      <c r="D22" t="s">
        <v>33</v>
      </c>
      <c r="F22" s="36">
        <v>14.61</v>
      </c>
      <c r="G22" s="3"/>
      <c r="H22" s="3">
        <f t="shared" si="0"/>
        <v>241.44</v>
      </c>
      <c r="I22" t="s">
        <v>10</v>
      </c>
      <c r="J22" s="2"/>
    </row>
    <row r="23" spans="1:10" x14ac:dyDescent="0.25">
      <c r="A23" s="1">
        <v>39405</v>
      </c>
      <c r="B23">
        <v>106</v>
      </c>
      <c r="C23" t="s">
        <v>25</v>
      </c>
      <c r="D23" t="s">
        <v>33</v>
      </c>
      <c r="F23" s="36">
        <v>64.400000000000006</v>
      </c>
      <c r="G23" s="3"/>
      <c r="H23" s="3">
        <f t="shared" si="0"/>
        <v>177.04</v>
      </c>
      <c r="I23" s="1">
        <v>39394</v>
      </c>
      <c r="J23" s="2" t="s">
        <v>26</v>
      </c>
    </row>
    <row r="24" spans="1:10" x14ac:dyDescent="0.25">
      <c r="A24" s="1">
        <v>39405</v>
      </c>
      <c r="B24">
        <v>107</v>
      </c>
      <c r="C24" t="s">
        <v>29</v>
      </c>
      <c r="D24" t="s">
        <v>33</v>
      </c>
      <c r="F24" s="36">
        <v>33.89</v>
      </c>
      <c r="G24" s="3"/>
      <c r="H24" s="3">
        <f t="shared" si="0"/>
        <v>143.14999999999998</v>
      </c>
      <c r="I24" s="1">
        <v>39392</v>
      </c>
      <c r="J24" s="2">
        <v>29003476</v>
      </c>
    </row>
    <row r="25" spans="1:10" x14ac:dyDescent="0.25">
      <c r="A25" s="1">
        <v>39416</v>
      </c>
      <c r="C25" t="s">
        <v>48</v>
      </c>
      <c r="D25" t="s">
        <v>49</v>
      </c>
      <c r="F25" s="36">
        <v>156.6</v>
      </c>
      <c r="G25" s="3"/>
      <c r="H25" s="3">
        <f t="shared" si="0"/>
        <v>-13.450000000000017</v>
      </c>
      <c r="I25" s="1">
        <v>39394</v>
      </c>
      <c r="J25" s="2">
        <v>50</v>
      </c>
    </row>
    <row r="28" spans="1:10" x14ac:dyDescent="0.25">
      <c r="A28" s="1">
        <v>39552</v>
      </c>
      <c r="B28">
        <v>109</v>
      </c>
      <c r="C28" t="s">
        <v>29</v>
      </c>
      <c r="D28" t="s">
        <v>52</v>
      </c>
      <c r="F28" s="36">
        <v>29.92</v>
      </c>
      <c r="G28" s="3"/>
      <c r="I28" s="13">
        <v>39402</v>
      </c>
      <c r="J28" s="11">
        <v>29526961</v>
      </c>
    </row>
    <row r="30" spans="1:10" x14ac:dyDescent="0.25">
      <c r="A30" s="1">
        <v>39583</v>
      </c>
      <c r="B30" t="s">
        <v>116</v>
      </c>
      <c r="C30" t="s">
        <v>117</v>
      </c>
      <c r="D30" s="10" t="s">
        <v>63</v>
      </c>
      <c r="E30" s="10"/>
      <c r="F30" s="36">
        <v>718</v>
      </c>
      <c r="I30" s="1">
        <v>39332</v>
      </c>
      <c r="J30" t="s">
        <v>78</v>
      </c>
    </row>
    <row r="31" spans="1:10" x14ac:dyDescent="0.25">
      <c r="H31">
        <v>980.87</v>
      </c>
    </row>
    <row r="32" spans="1:10" x14ac:dyDescent="0.25">
      <c r="A32" s="1">
        <v>39645</v>
      </c>
      <c r="B32">
        <v>110</v>
      </c>
      <c r="C32" s="9" t="s">
        <v>62</v>
      </c>
      <c r="D32" t="s">
        <v>35</v>
      </c>
      <c r="F32" s="12">
        <v>95.36</v>
      </c>
      <c r="H32" s="3">
        <f>H31-F32</f>
        <v>885.51</v>
      </c>
      <c r="I32" s="1">
        <v>39526</v>
      </c>
      <c r="J32" s="11">
        <v>8036</v>
      </c>
    </row>
    <row r="33" spans="1:18" x14ac:dyDescent="0.25">
      <c r="A33" s="13">
        <v>39646</v>
      </c>
      <c r="B33">
        <v>111</v>
      </c>
      <c r="C33" s="9" t="s">
        <v>43</v>
      </c>
      <c r="D33" s="10" t="s">
        <v>63</v>
      </c>
      <c r="E33" s="10"/>
      <c r="F33" s="12">
        <v>94.66</v>
      </c>
      <c r="H33" s="3">
        <f>H32-F33</f>
        <v>790.85</v>
      </c>
      <c r="I33" s="13">
        <v>39559</v>
      </c>
      <c r="J33" s="11" t="s">
        <v>145</v>
      </c>
    </row>
    <row r="34" spans="1:18" x14ac:dyDescent="0.25">
      <c r="A34" s="13">
        <v>39650</v>
      </c>
      <c r="B34">
        <v>112</v>
      </c>
      <c r="C34" s="9" t="s">
        <v>43</v>
      </c>
      <c r="D34" s="10" t="s">
        <v>33</v>
      </c>
      <c r="E34" s="10"/>
      <c r="F34" s="12">
        <f>30.96+18.4</f>
        <v>49.36</v>
      </c>
      <c r="H34" s="3">
        <f>H33-F34</f>
        <v>741.49</v>
      </c>
      <c r="I34" s="13">
        <v>39591</v>
      </c>
      <c r="J34" s="11" t="s">
        <v>44</v>
      </c>
    </row>
    <row r="35" spans="1:18" s="10" customFormat="1" x14ac:dyDescent="0.25">
      <c r="A35" s="10" t="s">
        <v>154</v>
      </c>
      <c r="G35" s="10">
        <f>2*125</f>
        <v>250</v>
      </c>
      <c r="H35" s="12">
        <f>H34+G35-F35</f>
        <v>991.49</v>
      </c>
    </row>
    <row r="36" spans="1:18" x14ac:dyDescent="0.25">
      <c r="G36" s="3">
        <f>H36-H35</f>
        <v>0.76999999999998181</v>
      </c>
      <c r="H36">
        <v>992.26</v>
      </c>
    </row>
    <row r="37" spans="1:18" x14ac:dyDescent="0.25">
      <c r="A37" s="1">
        <v>39678</v>
      </c>
      <c r="B37">
        <v>113</v>
      </c>
      <c r="C37" s="9" t="s">
        <v>150</v>
      </c>
      <c r="D37" s="10" t="s">
        <v>35</v>
      </c>
      <c r="E37" s="10"/>
      <c r="F37" s="12">
        <v>383.76</v>
      </c>
      <c r="H37" s="12">
        <f t="shared" ref="H37:H47" si="1">H36+G37-F37</f>
        <v>608.5</v>
      </c>
      <c r="I37" s="13">
        <v>39545</v>
      </c>
      <c r="J37" s="37" t="s">
        <v>151</v>
      </c>
    </row>
    <row r="38" spans="1:18" x14ac:dyDescent="0.25">
      <c r="A38" s="1" t="s">
        <v>160</v>
      </c>
      <c r="C38" s="9"/>
      <c r="D38" s="10"/>
      <c r="E38" s="10"/>
      <c r="F38" s="12"/>
      <c r="G38">
        <f>4*125</f>
        <v>500</v>
      </c>
      <c r="H38" s="12">
        <f t="shared" si="1"/>
        <v>1108.5</v>
      </c>
      <c r="I38" s="13"/>
      <c r="J38" s="37"/>
    </row>
    <row r="39" spans="1:18" x14ac:dyDescent="0.25">
      <c r="A39" s="1"/>
      <c r="C39" s="9"/>
      <c r="D39" s="10"/>
      <c r="E39" s="10"/>
      <c r="F39" s="12"/>
      <c r="G39">
        <v>1.43</v>
      </c>
      <c r="H39" s="12">
        <f t="shared" si="1"/>
        <v>1109.93</v>
      </c>
      <c r="I39" s="13"/>
      <c r="J39" s="37"/>
    </row>
    <row r="40" spans="1:18" x14ac:dyDescent="0.25">
      <c r="A40" s="13">
        <v>39739</v>
      </c>
      <c r="B40">
        <v>114</v>
      </c>
      <c r="C40" s="9" t="s">
        <v>62</v>
      </c>
      <c r="D40" s="10" t="s">
        <v>52</v>
      </c>
      <c r="E40" s="10"/>
      <c r="F40" s="12">
        <v>94.66</v>
      </c>
      <c r="H40" s="12">
        <f t="shared" si="1"/>
        <v>1015.2700000000001</v>
      </c>
      <c r="I40" s="13">
        <v>39573</v>
      </c>
      <c r="J40" s="11">
        <v>8036</v>
      </c>
    </row>
    <row r="41" spans="1:18" x14ac:dyDescent="0.25">
      <c r="A41" s="13">
        <v>39739</v>
      </c>
      <c r="B41">
        <v>115</v>
      </c>
      <c r="C41" s="9" t="s">
        <v>155</v>
      </c>
      <c r="D41" s="10" t="s">
        <v>33</v>
      </c>
      <c r="E41" s="10"/>
      <c r="F41" s="12">
        <v>490.41</v>
      </c>
      <c r="H41" s="12">
        <f t="shared" si="1"/>
        <v>524.86000000000013</v>
      </c>
      <c r="I41" s="13">
        <v>39503</v>
      </c>
      <c r="J41" s="11">
        <v>403060</v>
      </c>
    </row>
    <row r="42" spans="1:18" x14ac:dyDescent="0.25">
      <c r="G42" s="10">
        <v>125</v>
      </c>
      <c r="H42" s="12">
        <f t="shared" si="1"/>
        <v>649.86000000000013</v>
      </c>
    </row>
    <row r="43" spans="1:18" s="10" customFormat="1" x14ac:dyDescent="0.25">
      <c r="A43" s="13">
        <v>39761</v>
      </c>
      <c r="B43" s="10">
        <v>116</v>
      </c>
      <c r="C43" s="13" t="s">
        <v>161</v>
      </c>
      <c r="D43" s="10" t="s">
        <v>52</v>
      </c>
      <c r="F43" s="10">
        <v>127.74</v>
      </c>
      <c r="H43" s="12">
        <f t="shared" si="1"/>
        <v>522.12000000000012</v>
      </c>
      <c r="I43" s="10" t="s">
        <v>170</v>
      </c>
      <c r="K43" s="12"/>
      <c r="L43" s="38"/>
      <c r="M43" s="12"/>
      <c r="R43" s="9"/>
    </row>
    <row r="44" spans="1:18" s="10" customFormat="1" x14ac:dyDescent="0.25">
      <c r="A44" s="13">
        <v>39761</v>
      </c>
      <c r="B44" s="10">
        <v>117</v>
      </c>
      <c r="C44" s="13" t="s">
        <v>168</v>
      </c>
      <c r="D44" s="10" t="s">
        <v>33</v>
      </c>
      <c r="F44" s="10">
        <v>332.92</v>
      </c>
      <c r="H44" s="12">
        <f t="shared" si="1"/>
        <v>189.2000000000001</v>
      </c>
      <c r="I44" s="12" t="s">
        <v>169</v>
      </c>
      <c r="K44" s="12"/>
      <c r="L44" s="38"/>
      <c r="M44" s="12"/>
      <c r="O44" s="13"/>
      <c r="P44" s="13"/>
      <c r="Q44" s="10" t="s">
        <v>14</v>
      </c>
      <c r="R44" s="9"/>
    </row>
    <row r="45" spans="1:18" x14ac:dyDescent="0.25">
      <c r="A45" s="1">
        <v>39761</v>
      </c>
      <c r="B45">
        <v>118</v>
      </c>
      <c r="C45" t="s">
        <v>171</v>
      </c>
      <c r="D45" s="10" t="s">
        <v>33</v>
      </c>
      <c r="E45" s="10"/>
      <c r="F45" s="36">
        <v>22.13</v>
      </c>
      <c r="H45" s="12">
        <f t="shared" si="1"/>
        <v>167.07000000000011</v>
      </c>
      <c r="I45" s="1">
        <v>39709</v>
      </c>
    </row>
    <row r="46" spans="1:18" x14ac:dyDescent="0.25">
      <c r="A46" s="1">
        <v>39765</v>
      </c>
      <c r="B46">
        <v>119</v>
      </c>
      <c r="C46" t="s">
        <v>175</v>
      </c>
      <c r="D46" s="10" t="s">
        <v>180</v>
      </c>
      <c r="E46" s="10"/>
      <c r="F46" s="36">
        <v>22.4</v>
      </c>
      <c r="H46" s="12">
        <f t="shared" si="1"/>
        <v>144.6700000000001</v>
      </c>
      <c r="I46" t="s">
        <v>181</v>
      </c>
    </row>
    <row r="47" spans="1:18" x14ac:dyDescent="0.25">
      <c r="A47" s="1" t="s">
        <v>184</v>
      </c>
      <c r="D47" s="10"/>
      <c r="E47" s="10"/>
      <c r="G47" s="50">
        <f>125*2</f>
        <v>250</v>
      </c>
      <c r="H47" s="12">
        <f t="shared" si="1"/>
        <v>394.67000000000007</v>
      </c>
    </row>
    <row r="48" spans="1:18" x14ac:dyDescent="0.25">
      <c r="A48" s="1"/>
      <c r="D48" s="10"/>
      <c r="E48" s="10"/>
      <c r="G48" s="58">
        <f>H48-H47</f>
        <v>0.91999999999990223</v>
      </c>
      <c r="H48" s="12">
        <v>395.59</v>
      </c>
    </row>
    <row r="49" spans="1:9" x14ac:dyDescent="0.25">
      <c r="A49" s="1">
        <v>39784</v>
      </c>
      <c r="B49">
        <v>120</v>
      </c>
      <c r="C49" t="s">
        <v>168</v>
      </c>
      <c r="D49" s="10" t="s">
        <v>33</v>
      </c>
      <c r="E49" s="10"/>
      <c r="F49" s="36">
        <v>11</v>
      </c>
      <c r="H49" s="12">
        <f t="shared" ref="H49:H56" si="2">H48+G49-F49</f>
        <v>384.59</v>
      </c>
    </row>
    <row r="50" spans="1:9" x14ac:dyDescent="0.25">
      <c r="A50" t="s">
        <v>211</v>
      </c>
      <c r="G50" s="50">
        <v>250.41</v>
      </c>
      <c r="H50" s="12">
        <f t="shared" si="2"/>
        <v>635</v>
      </c>
    </row>
    <row r="51" spans="1:9" x14ac:dyDescent="0.25">
      <c r="A51" t="s">
        <v>212</v>
      </c>
      <c r="G51" s="50">
        <v>250.77</v>
      </c>
      <c r="H51" s="12">
        <f t="shared" si="2"/>
        <v>885.77</v>
      </c>
    </row>
    <row r="52" spans="1:9" x14ac:dyDescent="0.25">
      <c r="A52" s="1">
        <v>39854</v>
      </c>
      <c r="B52" t="s">
        <v>209</v>
      </c>
      <c r="C52" t="s">
        <v>210</v>
      </c>
      <c r="D52" t="s">
        <v>35</v>
      </c>
      <c r="F52" s="36">
        <v>20.41</v>
      </c>
      <c r="H52" s="12">
        <f t="shared" si="2"/>
        <v>865.36</v>
      </c>
    </row>
    <row r="53" spans="1:9" x14ac:dyDescent="0.25">
      <c r="A53" t="s">
        <v>213</v>
      </c>
      <c r="G53" s="50">
        <v>250.93</v>
      </c>
      <c r="H53" s="12">
        <f t="shared" si="2"/>
        <v>1116.29</v>
      </c>
    </row>
    <row r="54" spans="1:9" x14ac:dyDescent="0.25">
      <c r="A54" s="1">
        <v>39874</v>
      </c>
      <c r="B54" t="s">
        <v>209</v>
      </c>
      <c r="C54" t="s">
        <v>168</v>
      </c>
      <c r="D54" t="s">
        <v>33</v>
      </c>
      <c r="F54" s="36">
        <v>8.94</v>
      </c>
      <c r="H54" s="52">
        <f t="shared" si="2"/>
        <v>1107.3499999999999</v>
      </c>
    </row>
    <row r="55" spans="1:9" x14ac:dyDescent="0.25">
      <c r="A55" t="s">
        <v>239</v>
      </c>
      <c r="G55" s="50">
        <f>2*125+1.28</f>
        <v>251.28</v>
      </c>
      <c r="H55" s="12">
        <f t="shared" si="2"/>
        <v>1358.6299999999999</v>
      </c>
    </row>
    <row r="56" spans="1:9" x14ac:dyDescent="0.25">
      <c r="A56" s="1" t="s">
        <v>240</v>
      </c>
      <c r="G56" s="50">
        <f>2*125+0.59</f>
        <v>250.59</v>
      </c>
      <c r="H56" s="52">
        <f t="shared" si="2"/>
        <v>1609.2199999999998</v>
      </c>
    </row>
    <row r="57" spans="1:9" x14ac:dyDescent="0.25">
      <c r="A57" s="1">
        <v>39953</v>
      </c>
      <c r="B57">
        <v>123</v>
      </c>
      <c r="C57" t="s">
        <v>274</v>
      </c>
      <c r="D57" t="s">
        <v>33</v>
      </c>
      <c r="F57" s="57">
        <v>100</v>
      </c>
      <c r="H57" s="12">
        <f>H56+G57-F57</f>
        <v>1509.2199999999998</v>
      </c>
      <c r="I57" s="1">
        <v>39953</v>
      </c>
    </row>
    <row r="58" spans="1:9" x14ac:dyDescent="0.25">
      <c r="A58" s="1">
        <v>39955</v>
      </c>
      <c r="B58">
        <v>124</v>
      </c>
      <c r="C58" t="s">
        <v>243</v>
      </c>
      <c r="D58" t="s">
        <v>33</v>
      </c>
      <c r="F58" s="57">
        <v>45</v>
      </c>
      <c r="H58" s="12">
        <f t="shared" ref="H58:H68" si="3">H57+G58-F58</f>
        <v>1464.2199999999998</v>
      </c>
      <c r="I58" s="1">
        <v>39955</v>
      </c>
    </row>
    <row r="59" spans="1:9" x14ac:dyDescent="0.25">
      <c r="A59" s="1">
        <v>39955</v>
      </c>
      <c r="B59" t="s">
        <v>209</v>
      </c>
      <c r="C59" t="s">
        <v>275</v>
      </c>
      <c r="D59" t="s">
        <v>33</v>
      </c>
      <c r="F59" s="57">
        <f>17.16+3.25+4</f>
        <v>24.41</v>
      </c>
      <c r="H59" s="12">
        <f t="shared" si="3"/>
        <v>1439.8099999999997</v>
      </c>
    </row>
    <row r="60" spans="1:9" x14ac:dyDescent="0.25">
      <c r="A60" s="1" t="s">
        <v>241</v>
      </c>
      <c r="G60" s="50">
        <f>2*125+0.71</f>
        <v>250.71</v>
      </c>
      <c r="H60" s="52">
        <f>H59+G60-F60</f>
        <v>1690.5199999999998</v>
      </c>
    </row>
    <row r="61" spans="1:9" x14ac:dyDescent="0.25">
      <c r="A61" s="1">
        <v>39947</v>
      </c>
      <c r="B61">
        <v>122</v>
      </c>
      <c r="C61" t="s">
        <v>249</v>
      </c>
      <c r="D61" t="s">
        <v>33</v>
      </c>
      <c r="F61" s="57">
        <v>186</v>
      </c>
      <c r="H61" s="12">
        <f t="shared" si="3"/>
        <v>1504.5199999999998</v>
      </c>
    </row>
    <row r="62" spans="1:9" x14ac:dyDescent="0.25">
      <c r="A62" s="1">
        <v>39962</v>
      </c>
      <c r="B62" t="s">
        <v>209</v>
      </c>
      <c r="C62" t="s">
        <v>243</v>
      </c>
      <c r="D62" t="s">
        <v>33</v>
      </c>
      <c r="F62" s="57">
        <v>45</v>
      </c>
      <c r="H62" s="12">
        <f t="shared" si="3"/>
        <v>1459.5199999999998</v>
      </c>
      <c r="I62" s="1">
        <v>39962</v>
      </c>
    </row>
    <row r="63" spans="1:9" x14ac:dyDescent="0.25">
      <c r="A63" t="s">
        <v>263</v>
      </c>
      <c r="G63" s="50">
        <f>2*125+0.64</f>
        <v>250.64</v>
      </c>
      <c r="H63" s="52">
        <f t="shared" si="3"/>
        <v>1710.1599999999999</v>
      </c>
    </row>
    <row r="64" spans="1:9" x14ac:dyDescent="0.25">
      <c r="A64" s="1">
        <v>39993</v>
      </c>
      <c r="B64" t="s">
        <v>209</v>
      </c>
      <c r="C64" t="s">
        <v>275</v>
      </c>
      <c r="D64" t="s">
        <v>33</v>
      </c>
      <c r="F64" s="36">
        <f>17.16+3.25</f>
        <v>20.41</v>
      </c>
      <c r="H64" s="12">
        <f t="shared" si="3"/>
        <v>1689.7499999999998</v>
      </c>
    </row>
    <row r="65" spans="1:14" x14ac:dyDescent="0.25">
      <c r="A65" s="1">
        <v>40023</v>
      </c>
      <c r="B65" t="s">
        <v>209</v>
      </c>
      <c r="C65" t="s">
        <v>265</v>
      </c>
      <c r="D65" t="s">
        <v>33</v>
      </c>
      <c r="F65" s="36">
        <f>17.16+3.25</f>
        <v>20.41</v>
      </c>
      <c r="H65" s="12">
        <f t="shared" si="3"/>
        <v>1669.3399999999997</v>
      </c>
    </row>
    <row r="66" spans="1:14" x14ac:dyDescent="0.25">
      <c r="A66" t="s">
        <v>264</v>
      </c>
      <c r="G66">
        <f>2*125</f>
        <v>250</v>
      </c>
      <c r="H66" s="12">
        <f t="shared" si="3"/>
        <v>1919.3399999999997</v>
      </c>
    </row>
    <row r="67" spans="1:14" x14ac:dyDescent="0.25">
      <c r="A67" s="1">
        <v>39940</v>
      </c>
      <c r="B67">
        <v>121</v>
      </c>
      <c r="C67" t="s">
        <v>171</v>
      </c>
      <c r="D67" t="s">
        <v>33</v>
      </c>
      <c r="F67" s="36">
        <v>28.51</v>
      </c>
      <c r="H67" s="12">
        <f t="shared" si="3"/>
        <v>1890.8299999999997</v>
      </c>
      <c r="I67" t="s">
        <v>277</v>
      </c>
    </row>
    <row r="68" spans="1:14" x14ac:dyDescent="0.25">
      <c r="A68" s="1">
        <v>40032</v>
      </c>
      <c r="B68">
        <v>125</v>
      </c>
      <c r="C68" t="s">
        <v>168</v>
      </c>
      <c r="D68" t="s">
        <v>33</v>
      </c>
      <c r="F68" s="36">
        <v>288.86</v>
      </c>
      <c r="H68" s="12">
        <f t="shared" si="3"/>
        <v>1601.9699999999998</v>
      </c>
      <c r="I68" t="s">
        <v>266</v>
      </c>
    </row>
    <row r="69" spans="1:14" ht="26.4" x14ac:dyDescent="0.25">
      <c r="B69">
        <v>143</v>
      </c>
      <c r="C69" s="9" t="s">
        <v>352</v>
      </c>
      <c r="D69" t="s">
        <v>35</v>
      </c>
      <c r="F69" s="36">
        <v>1300</v>
      </c>
    </row>
    <row r="70" spans="1:14" x14ac:dyDescent="0.25">
      <c r="C70" s="9"/>
    </row>
    <row r="71" spans="1:14" x14ac:dyDescent="0.25">
      <c r="A71" s="1">
        <v>40787</v>
      </c>
      <c r="H71">
        <v>339.25</v>
      </c>
    </row>
    <row r="72" spans="1:14" x14ac:dyDescent="0.25">
      <c r="A72" s="1">
        <v>40790</v>
      </c>
      <c r="B72">
        <v>144</v>
      </c>
      <c r="C72" t="s">
        <v>287</v>
      </c>
      <c r="D72" t="s">
        <v>359</v>
      </c>
      <c r="F72" s="36">
        <v>63.6</v>
      </c>
      <c r="H72" s="36">
        <f>H71-F72+G72</f>
        <v>275.64999999999998</v>
      </c>
    </row>
    <row r="73" spans="1:14" x14ac:dyDescent="0.25">
      <c r="A73" s="1"/>
      <c r="C73" t="s">
        <v>361</v>
      </c>
      <c r="F73" s="36">
        <f>339.25-334.26</f>
        <v>4.9900000000000091</v>
      </c>
      <c r="G73">
        <v>100</v>
      </c>
      <c r="H73" s="36">
        <f>H72-F73+G73</f>
        <v>370.65999999999997</v>
      </c>
      <c r="L73" t="s">
        <v>420</v>
      </c>
    </row>
    <row r="74" spans="1:14" x14ac:dyDescent="0.25">
      <c r="A74" s="1">
        <v>40804</v>
      </c>
      <c r="B74">
        <v>145</v>
      </c>
      <c r="C74" t="s">
        <v>163</v>
      </c>
      <c r="D74" t="s">
        <v>33</v>
      </c>
      <c r="F74" s="36">
        <v>99.73</v>
      </c>
      <c r="H74" s="36">
        <f>H73-F74+G74</f>
        <v>270.92999999999995</v>
      </c>
      <c r="L74">
        <v>75</v>
      </c>
      <c r="M74">
        <f>L74*24</f>
        <v>1800</v>
      </c>
    </row>
    <row r="75" spans="1:14" x14ac:dyDescent="0.25">
      <c r="A75" s="1"/>
      <c r="L75">
        <f>M75/24</f>
        <v>100</v>
      </c>
      <c r="M75">
        <v>2400</v>
      </c>
      <c r="N75" s="88" t="s">
        <v>422</v>
      </c>
    </row>
    <row r="76" spans="1:14" x14ac:dyDescent="0.25">
      <c r="A76" s="1">
        <v>40847</v>
      </c>
      <c r="C76" s="75" t="s">
        <v>408</v>
      </c>
      <c r="H76">
        <v>569.73</v>
      </c>
      <c r="L76" s="54">
        <v>125</v>
      </c>
      <c r="M76" s="54">
        <f>L76*24</f>
        <v>3000</v>
      </c>
      <c r="N76" s="87" t="s">
        <v>421</v>
      </c>
    </row>
    <row r="77" spans="1:14" x14ac:dyDescent="0.25">
      <c r="A77" s="1">
        <v>40859</v>
      </c>
      <c r="B77">
        <v>146</v>
      </c>
      <c r="C77" t="s">
        <v>395</v>
      </c>
      <c r="D77" t="s">
        <v>63</v>
      </c>
      <c r="E77" s="75" t="s">
        <v>404</v>
      </c>
      <c r="F77" s="36">
        <v>5.16</v>
      </c>
      <c r="H77" s="36">
        <f t="shared" ref="H77:H83" si="4">H76-F77+G77</f>
        <v>564.57000000000005</v>
      </c>
      <c r="L77" s="10">
        <v>150</v>
      </c>
      <c r="M77" s="10">
        <f>L77*24</f>
        <v>3600</v>
      </c>
    </row>
    <row r="78" spans="1:14" x14ac:dyDescent="0.25">
      <c r="A78" s="1">
        <v>40859</v>
      </c>
      <c r="B78">
        <v>147</v>
      </c>
      <c r="C78" t="s">
        <v>396</v>
      </c>
      <c r="D78" t="s">
        <v>52</v>
      </c>
      <c r="E78" s="75" t="s">
        <v>404</v>
      </c>
      <c r="F78" s="36">
        <v>12.12</v>
      </c>
      <c r="H78" s="36">
        <f t="shared" si="4"/>
        <v>552.45000000000005</v>
      </c>
      <c r="L78" s="36">
        <v>175</v>
      </c>
      <c r="M78" s="10">
        <f>L78*24</f>
        <v>4200</v>
      </c>
    </row>
    <row r="79" spans="1:14" x14ac:dyDescent="0.25">
      <c r="A79" s="1">
        <v>40859</v>
      </c>
      <c r="B79">
        <v>148</v>
      </c>
      <c r="C79" t="s">
        <v>396</v>
      </c>
      <c r="D79" t="s">
        <v>284</v>
      </c>
      <c r="E79" s="75" t="s">
        <v>404</v>
      </c>
      <c r="F79" s="12">
        <v>18.149999999999999</v>
      </c>
      <c r="H79" s="36">
        <f t="shared" si="4"/>
        <v>534.30000000000007</v>
      </c>
      <c r="L79" s="36">
        <v>200</v>
      </c>
      <c r="M79" s="10">
        <f>L79*24</f>
        <v>4800</v>
      </c>
    </row>
    <row r="80" spans="1:14" x14ac:dyDescent="0.25">
      <c r="A80" s="1">
        <v>40859</v>
      </c>
      <c r="B80">
        <v>149</v>
      </c>
      <c r="C80" s="75" t="s">
        <v>407</v>
      </c>
      <c r="D80" s="75" t="s">
        <v>63</v>
      </c>
      <c r="E80" s="75" t="s">
        <v>404</v>
      </c>
      <c r="F80" s="36">
        <v>100.47</v>
      </c>
      <c r="H80" s="36">
        <f t="shared" si="4"/>
        <v>433.83000000000004</v>
      </c>
      <c r="L80" s="36">
        <f>M80/24</f>
        <v>208.33333333333334</v>
      </c>
      <c r="M80">
        <v>5000</v>
      </c>
    </row>
    <row r="81" spans="1:10" x14ac:dyDescent="0.25">
      <c r="A81" s="1"/>
      <c r="C81" s="75" t="s">
        <v>405</v>
      </c>
      <c r="F81" s="36">
        <f>3*0.75</f>
        <v>2.25</v>
      </c>
      <c r="H81" s="36">
        <f t="shared" si="4"/>
        <v>431.58000000000004</v>
      </c>
    </row>
    <row r="82" spans="1:10" x14ac:dyDescent="0.25">
      <c r="A82" s="85" t="s">
        <v>409</v>
      </c>
      <c r="C82" s="75"/>
      <c r="G82">
        <v>100.04</v>
      </c>
      <c r="H82" s="36">
        <f t="shared" si="4"/>
        <v>531.62</v>
      </c>
    </row>
    <row r="83" spans="1:10" x14ac:dyDescent="0.25">
      <c r="A83" s="1">
        <v>40865</v>
      </c>
      <c r="C83" s="75" t="s">
        <v>406</v>
      </c>
      <c r="F83" s="36">
        <v>0.59</v>
      </c>
      <c r="H83" s="36">
        <f t="shared" si="4"/>
        <v>531.03</v>
      </c>
    </row>
    <row r="89" spans="1:10" x14ac:dyDescent="0.25">
      <c r="A89" s="1">
        <v>42302</v>
      </c>
      <c r="H89" s="109">
        <v>1627.17</v>
      </c>
    </row>
    <row r="90" spans="1:10" x14ac:dyDescent="0.25">
      <c r="C90" t="s">
        <v>513</v>
      </c>
      <c r="F90" s="36">
        <v>936.68</v>
      </c>
      <c r="H90" s="109">
        <f>H89-F90</f>
        <v>690.49000000000012</v>
      </c>
    </row>
    <row r="92" spans="1:10" x14ac:dyDescent="0.25">
      <c r="A92" s="1">
        <v>42321</v>
      </c>
      <c r="C92" t="s">
        <v>408</v>
      </c>
      <c r="H92" s="3">
        <v>1383.26</v>
      </c>
      <c r="J92">
        <f>700*12</f>
        <v>8400</v>
      </c>
    </row>
    <row r="93" spans="1:10" x14ac:dyDescent="0.25">
      <c r="C93" t="s">
        <v>519</v>
      </c>
      <c r="F93" s="36">
        <v>200.9</v>
      </c>
      <c r="H93" s="109">
        <f>H92-F93</f>
        <v>1182.3599999999999</v>
      </c>
    </row>
  </sheetData>
  <phoneticPr fontId="2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L27"/>
  <sheetViews>
    <sheetView workbookViewId="0">
      <selection activeCell="I29" sqref="I29"/>
    </sheetView>
  </sheetViews>
  <sheetFormatPr defaultRowHeight="13.2" x14ac:dyDescent="0.25"/>
  <cols>
    <col min="1" max="1" width="9.88671875" bestFit="1" customWidth="1"/>
    <col min="2" max="2" width="14" bestFit="1" customWidth="1"/>
    <col min="4" max="4" width="13.88671875" bestFit="1" customWidth="1"/>
    <col min="5" max="5" width="12.5546875" bestFit="1" customWidth="1"/>
    <col min="6" max="6" width="18" bestFit="1" customWidth="1"/>
    <col min="7" max="7" width="9.5546875" bestFit="1" customWidth="1"/>
    <col min="8" max="8" width="9.33203125" bestFit="1" customWidth="1"/>
    <col min="10" max="10" width="9" bestFit="1" customWidth="1"/>
  </cols>
  <sheetData>
    <row r="3" spans="1:11" x14ac:dyDescent="0.25">
      <c r="D3" t="s">
        <v>189</v>
      </c>
      <c r="E3" t="s">
        <v>190</v>
      </c>
      <c r="F3" t="s">
        <v>191</v>
      </c>
      <c r="G3" t="s">
        <v>192</v>
      </c>
      <c r="H3" t="s">
        <v>193</v>
      </c>
      <c r="I3" t="s">
        <v>194</v>
      </c>
      <c r="J3" t="s">
        <v>195</v>
      </c>
      <c r="K3" t="s">
        <v>199</v>
      </c>
    </row>
    <row r="4" spans="1:11" x14ac:dyDescent="0.25">
      <c r="A4" t="s">
        <v>188</v>
      </c>
      <c r="B4" s="1">
        <v>39646</v>
      </c>
      <c r="C4" s="1" t="s">
        <v>196</v>
      </c>
      <c r="D4">
        <v>78</v>
      </c>
      <c r="E4">
        <v>60</v>
      </c>
      <c r="F4">
        <v>60</v>
      </c>
      <c r="I4">
        <f>SUM(D4:H4)</f>
        <v>198</v>
      </c>
      <c r="J4">
        <v>744</v>
      </c>
      <c r="K4">
        <f>I4-J4</f>
        <v>-546</v>
      </c>
    </row>
    <row r="5" spans="1:11" x14ac:dyDescent="0.25">
      <c r="A5" t="s">
        <v>188</v>
      </c>
      <c r="C5" t="s">
        <v>197</v>
      </c>
      <c r="D5">
        <v>-78</v>
      </c>
      <c r="E5">
        <v>-60</v>
      </c>
      <c r="F5">
        <v>-60</v>
      </c>
      <c r="I5">
        <f>SUM(D5:H5)</f>
        <v>-198</v>
      </c>
      <c r="K5">
        <f>K4+I5-J5</f>
        <v>-744</v>
      </c>
    </row>
    <row r="6" spans="1:11" x14ac:dyDescent="0.25">
      <c r="A6" t="s">
        <v>188</v>
      </c>
      <c r="B6" s="1">
        <v>39650</v>
      </c>
      <c r="C6" t="s">
        <v>198</v>
      </c>
      <c r="D6">
        <v>260</v>
      </c>
      <c r="E6">
        <v>200</v>
      </c>
      <c r="F6">
        <v>200</v>
      </c>
      <c r="H6">
        <v>-66</v>
      </c>
      <c r="I6">
        <f t="shared" ref="I6:I11" si="0">SUM(D6:H6)</f>
        <v>594</v>
      </c>
      <c r="K6">
        <f t="shared" ref="K6:K11" si="1">K5+I6-J6</f>
        <v>-150</v>
      </c>
    </row>
    <row r="7" spans="1:11" x14ac:dyDescent="0.25">
      <c r="A7" t="s">
        <v>188</v>
      </c>
      <c r="B7" s="1">
        <v>39657</v>
      </c>
      <c r="C7" t="s">
        <v>200</v>
      </c>
      <c r="E7">
        <v>150</v>
      </c>
      <c r="F7">
        <v>150</v>
      </c>
      <c r="H7">
        <f>-10%*SUM(D7:F7)</f>
        <v>-30</v>
      </c>
      <c r="I7">
        <f t="shared" si="0"/>
        <v>270</v>
      </c>
      <c r="K7">
        <f t="shared" si="1"/>
        <v>120</v>
      </c>
    </row>
    <row r="8" spans="1:11" x14ac:dyDescent="0.25">
      <c r="B8" s="1">
        <v>39660</v>
      </c>
      <c r="C8" t="s">
        <v>198</v>
      </c>
      <c r="D8">
        <v>260</v>
      </c>
      <c r="H8">
        <f>-10%*SUM(D8:F8)</f>
        <v>-26</v>
      </c>
      <c r="I8">
        <f t="shared" si="0"/>
        <v>234</v>
      </c>
      <c r="J8">
        <v>445.5</v>
      </c>
      <c r="K8">
        <f t="shared" si="1"/>
        <v>-91.5</v>
      </c>
    </row>
    <row r="9" spans="1:11" x14ac:dyDescent="0.25">
      <c r="A9" t="s">
        <v>188</v>
      </c>
      <c r="B9" s="1">
        <v>39664</v>
      </c>
      <c r="C9" t="s">
        <v>200</v>
      </c>
      <c r="D9">
        <v>195</v>
      </c>
      <c r="E9">
        <v>150</v>
      </c>
      <c r="F9">
        <v>150</v>
      </c>
      <c r="H9">
        <v>-49.5</v>
      </c>
      <c r="I9">
        <f t="shared" si="0"/>
        <v>445.5</v>
      </c>
      <c r="J9">
        <v>504</v>
      </c>
      <c r="K9">
        <f t="shared" si="1"/>
        <v>-150</v>
      </c>
    </row>
    <row r="10" spans="1:11" x14ac:dyDescent="0.25">
      <c r="I10">
        <f t="shared" si="0"/>
        <v>0</v>
      </c>
      <c r="K10">
        <f t="shared" si="1"/>
        <v>-150</v>
      </c>
    </row>
    <row r="11" spans="1:11" x14ac:dyDescent="0.25">
      <c r="I11">
        <f t="shared" si="0"/>
        <v>0</v>
      </c>
      <c r="K11">
        <f t="shared" si="1"/>
        <v>-150</v>
      </c>
    </row>
    <row r="15" spans="1:11" x14ac:dyDescent="0.25">
      <c r="A15" t="s">
        <v>201</v>
      </c>
      <c r="D15">
        <f>SUM(D4:D14)</f>
        <v>715</v>
      </c>
      <c r="E15">
        <f t="shared" ref="E15:K15" si="2">SUM(E4:E14)</f>
        <v>500</v>
      </c>
      <c r="F15">
        <f t="shared" si="2"/>
        <v>500</v>
      </c>
      <c r="G15">
        <f t="shared" si="2"/>
        <v>0</v>
      </c>
      <c r="H15">
        <f t="shared" si="2"/>
        <v>-171.5</v>
      </c>
      <c r="I15">
        <f t="shared" si="2"/>
        <v>1543.5</v>
      </c>
      <c r="J15">
        <f t="shared" si="2"/>
        <v>1693.5</v>
      </c>
      <c r="K15">
        <f t="shared" si="2"/>
        <v>-1861.5</v>
      </c>
    </row>
    <row r="16" spans="1:11" x14ac:dyDescent="0.25">
      <c r="D16">
        <f>-10%*D15</f>
        <v>-71.5</v>
      </c>
      <c r="E16">
        <f>-10%*E15</f>
        <v>-50</v>
      </c>
      <c r="F16">
        <f>-10%*F15</f>
        <v>-50</v>
      </c>
    </row>
    <row r="17" spans="1:12" x14ac:dyDescent="0.25">
      <c r="D17">
        <f>SUM(D15:D16)</f>
        <v>643.5</v>
      </c>
      <c r="E17">
        <f>SUM(E15:E16)</f>
        <v>450</v>
      </c>
      <c r="F17">
        <f>SUM(F15:F16)</f>
        <v>450</v>
      </c>
    </row>
    <row r="19" spans="1:12" x14ac:dyDescent="0.25">
      <c r="B19" t="s">
        <v>230</v>
      </c>
      <c r="C19" t="s">
        <v>231</v>
      </c>
      <c r="E19">
        <v>141.30000000000001</v>
      </c>
    </row>
    <row r="20" spans="1:12" x14ac:dyDescent="0.25">
      <c r="B20" t="s">
        <v>225</v>
      </c>
      <c r="C20" t="s">
        <v>217</v>
      </c>
      <c r="E20">
        <v>141.30000000000001</v>
      </c>
      <c r="I20">
        <f>3*E20</f>
        <v>423.90000000000003</v>
      </c>
    </row>
    <row r="21" spans="1:12" x14ac:dyDescent="0.25">
      <c r="B21" t="s">
        <v>226</v>
      </c>
      <c r="C21" t="s">
        <v>217</v>
      </c>
      <c r="E21">
        <v>141.30000000000001</v>
      </c>
    </row>
    <row r="22" spans="1:12" x14ac:dyDescent="0.25">
      <c r="B22" t="s">
        <v>227</v>
      </c>
      <c r="C22" t="s">
        <v>217</v>
      </c>
      <c r="E22">
        <v>141.30000000000001</v>
      </c>
    </row>
    <row r="23" spans="1:12" x14ac:dyDescent="0.25">
      <c r="A23" t="s">
        <v>188</v>
      </c>
      <c r="B23" t="s">
        <v>216</v>
      </c>
      <c r="C23" t="s">
        <v>217</v>
      </c>
      <c r="E23">
        <v>157</v>
      </c>
      <c r="L23" t="s">
        <v>229</v>
      </c>
    </row>
    <row r="24" spans="1:12" x14ac:dyDescent="0.25">
      <c r="A24" t="s">
        <v>188</v>
      </c>
      <c r="B24" t="s">
        <v>218</v>
      </c>
      <c r="C24" t="s">
        <v>217</v>
      </c>
      <c r="E24">
        <v>141.30000000000001</v>
      </c>
      <c r="L24" t="s">
        <v>229</v>
      </c>
    </row>
    <row r="25" spans="1:12" x14ac:dyDescent="0.25">
      <c r="A25" t="s">
        <v>188</v>
      </c>
      <c r="B25" t="s">
        <v>219</v>
      </c>
      <c r="E25">
        <v>141.30000000000001</v>
      </c>
      <c r="L25" t="s">
        <v>229</v>
      </c>
    </row>
    <row r="26" spans="1:12" x14ac:dyDescent="0.25">
      <c r="A26" t="s">
        <v>188</v>
      </c>
      <c r="B26" t="s">
        <v>220</v>
      </c>
      <c r="E26">
        <v>125.6</v>
      </c>
      <c r="L26" t="s">
        <v>229</v>
      </c>
    </row>
    <row r="27" spans="1:12" x14ac:dyDescent="0.25">
      <c r="A27" t="s">
        <v>188</v>
      </c>
      <c r="B27" t="s">
        <v>221</v>
      </c>
      <c r="E27">
        <v>141.30000000000001</v>
      </c>
      <c r="I27" s="50">
        <f>SUM(E23:E27)</f>
        <v>706.5</v>
      </c>
      <c r="K27" t="s">
        <v>228</v>
      </c>
      <c r="L27" t="s">
        <v>229</v>
      </c>
    </row>
  </sheetData>
  <phoneticPr fontId="2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M61"/>
  <sheetViews>
    <sheetView workbookViewId="0">
      <pane xSplit="6" ySplit="7" topLeftCell="G45" activePane="bottomRight" state="frozen"/>
      <selection pane="topRight" activeCell="F1" sqref="F1"/>
      <selection pane="bottomLeft" activeCell="A8" sqref="A8"/>
      <selection pane="bottomRight"/>
    </sheetView>
  </sheetViews>
  <sheetFormatPr defaultRowHeight="13.2" x14ac:dyDescent="0.25"/>
  <cols>
    <col min="1" max="1" width="40.109375" customWidth="1"/>
    <col min="3" max="3" width="6" bestFit="1" customWidth="1"/>
    <col min="4" max="4" width="13.44140625" bestFit="1" customWidth="1"/>
    <col min="5" max="5" width="10.109375" bestFit="1" customWidth="1"/>
    <col min="7" max="7" width="26.6640625" bestFit="1" customWidth="1"/>
    <col min="8" max="8" width="14.33203125" bestFit="1" customWidth="1"/>
    <col min="9" max="9" width="5.33203125" customWidth="1"/>
    <col min="10" max="10" width="10" bestFit="1" customWidth="1"/>
    <col min="12" max="12" width="10.109375" bestFit="1" customWidth="1"/>
    <col min="13" max="13" width="6.88671875" bestFit="1" customWidth="1"/>
  </cols>
  <sheetData>
    <row r="1" spans="1:13" x14ac:dyDescent="0.25">
      <c r="A1" t="s">
        <v>90</v>
      </c>
    </row>
    <row r="3" spans="1:13" x14ac:dyDescent="0.25">
      <c r="A3" t="s">
        <v>91</v>
      </c>
      <c r="B3">
        <v>208.33</v>
      </c>
    </row>
    <row r="4" spans="1:13" x14ac:dyDescent="0.25">
      <c r="A4" t="s">
        <v>92</v>
      </c>
      <c r="B4">
        <v>5000</v>
      </c>
      <c r="J4">
        <f>J6*24</f>
        <v>4999.9920000000002</v>
      </c>
    </row>
    <row r="6" spans="1:13" x14ac:dyDescent="0.25">
      <c r="H6" t="s">
        <v>141</v>
      </c>
      <c r="J6">
        <v>208.333</v>
      </c>
    </row>
    <row r="7" spans="1:13" s="34" customFormat="1" ht="39.6" x14ac:dyDescent="0.25">
      <c r="A7" s="34" t="s">
        <v>101</v>
      </c>
      <c r="B7" s="34" t="s">
        <v>94</v>
      </c>
      <c r="C7" s="34" t="s">
        <v>192</v>
      </c>
      <c r="D7" s="34" t="s">
        <v>95</v>
      </c>
      <c r="E7" s="34" t="s">
        <v>96</v>
      </c>
      <c r="F7" s="34" t="s">
        <v>102</v>
      </c>
      <c r="G7" s="34" t="s">
        <v>97</v>
      </c>
      <c r="H7" s="34" t="s">
        <v>99</v>
      </c>
      <c r="I7" s="34" t="s">
        <v>142</v>
      </c>
      <c r="J7" s="34" t="s">
        <v>104</v>
      </c>
      <c r="K7" s="34" t="s">
        <v>98</v>
      </c>
      <c r="L7" s="34" t="s">
        <v>203</v>
      </c>
      <c r="M7" s="34" t="s">
        <v>262</v>
      </c>
    </row>
    <row r="8" spans="1:13" s="34" customFormat="1" x14ac:dyDescent="0.25">
      <c r="H8" s="34" t="s">
        <v>100</v>
      </c>
      <c r="I8" s="34">
        <v>3</v>
      </c>
      <c r="J8" s="47">
        <v>624.99</v>
      </c>
      <c r="K8" s="47">
        <f>J8</f>
        <v>624.99</v>
      </c>
    </row>
    <row r="9" spans="1:13" x14ac:dyDescent="0.25">
      <c r="A9" t="s">
        <v>93</v>
      </c>
      <c r="B9">
        <v>700</v>
      </c>
      <c r="D9">
        <v>624</v>
      </c>
      <c r="E9" s="1">
        <v>39497</v>
      </c>
      <c r="F9" s="1">
        <v>39500</v>
      </c>
      <c r="G9" t="s">
        <v>103</v>
      </c>
      <c r="J9" s="36"/>
      <c r="K9" s="36">
        <f>K8+J9-D9</f>
        <v>0.99000000000000909</v>
      </c>
      <c r="L9">
        <f>B9-D9</f>
        <v>76</v>
      </c>
    </row>
    <row r="10" spans="1:13" x14ac:dyDescent="0.25">
      <c r="H10" t="s">
        <v>139</v>
      </c>
      <c r="I10">
        <v>10</v>
      </c>
      <c r="J10" s="36">
        <f>$J$6*I10</f>
        <v>2083.33</v>
      </c>
      <c r="K10" s="36">
        <f>J10+K9-D10</f>
        <v>2084.3199999999997</v>
      </c>
    </row>
    <row r="11" spans="1:13" x14ac:dyDescent="0.25">
      <c r="A11" t="s">
        <v>138</v>
      </c>
      <c r="B11">
        <v>1595.88</v>
      </c>
      <c r="D11">
        <v>1595.88</v>
      </c>
      <c r="E11" s="1">
        <v>39643</v>
      </c>
      <c r="F11" s="46">
        <v>39650</v>
      </c>
      <c r="G11" t="s">
        <v>14</v>
      </c>
      <c r="J11" s="36"/>
      <c r="K11" s="36">
        <f t="shared" ref="K11:K17" si="0">J11+K10-D11</f>
        <v>488.4399999999996</v>
      </c>
      <c r="L11">
        <f>B11-D11</f>
        <v>0</v>
      </c>
    </row>
    <row r="12" spans="1:13" x14ac:dyDescent="0.25">
      <c r="F12" s="45"/>
      <c r="H12" t="s">
        <v>185</v>
      </c>
      <c r="I12">
        <v>2</v>
      </c>
      <c r="J12" s="36">
        <f>$J$6*I12</f>
        <v>416.666</v>
      </c>
      <c r="K12" s="36">
        <f t="shared" si="0"/>
        <v>905.10599999999954</v>
      </c>
    </row>
    <row r="13" spans="1:13" x14ac:dyDescent="0.25">
      <c r="A13" t="s">
        <v>136</v>
      </c>
      <c r="B13" s="49">
        <v>700</v>
      </c>
      <c r="C13" s="49"/>
      <c r="D13" s="45"/>
      <c r="E13" s="45"/>
      <c r="F13" s="45"/>
      <c r="G13" s="49" t="s">
        <v>140</v>
      </c>
      <c r="J13" s="36"/>
      <c r="K13" s="36">
        <f t="shared" si="0"/>
        <v>905.10599999999954</v>
      </c>
      <c r="L13" s="49">
        <f>B13</f>
        <v>700</v>
      </c>
    </row>
    <row r="14" spans="1:13" x14ac:dyDescent="0.25">
      <c r="A14" t="s">
        <v>137</v>
      </c>
      <c r="B14" s="45">
        <v>700</v>
      </c>
      <c r="C14" s="45"/>
      <c r="D14" s="45">
        <v>700</v>
      </c>
      <c r="E14" s="46">
        <v>39678</v>
      </c>
      <c r="F14" s="46">
        <v>39682</v>
      </c>
      <c r="G14" t="s">
        <v>14</v>
      </c>
      <c r="J14" s="36"/>
      <c r="K14" s="36">
        <f t="shared" si="0"/>
        <v>205.10599999999954</v>
      </c>
      <c r="L14">
        <f>B14-D14</f>
        <v>0</v>
      </c>
    </row>
    <row r="15" spans="1:13" s="45" customFormat="1" x14ac:dyDescent="0.25">
      <c r="E15" s="46"/>
      <c r="H15" s="45" t="s">
        <v>186</v>
      </c>
      <c r="I15" s="45">
        <v>7</v>
      </c>
      <c r="J15" s="36">
        <f>$J$6*I15</f>
        <v>1458.3309999999999</v>
      </c>
      <c r="K15" s="36">
        <f t="shared" si="0"/>
        <v>1663.4369999999994</v>
      </c>
    </row>
    <row r="16" spans="1:13" x14ac:dyDescent="0.25">
      <c r="A16" t="s">
        <v>143</v>
      </c>
      <c r="B16">
        <v>1595.88</v>
      </c>
      <c r="D16">
        <v>1595.88</v>
      </c>
      <c r="E16" s="1">
        <v>39784</v>
      </c>
      <c r="F16" s="46">
        <v>39790</v>
      </c>
      <c r="G16" s="45" t="s">
        <v>223</v>
      </c>
      <c r="K16" s="36">
        <f t="shared" si="0"/>
        <v>67.556999999999334</v>
      </c>
      <c r="L16">
        <f>B16-D16</f>
        <v>0</v>
      </c>
    </row>
    <row r="17" spans="1:12" x14ac:dyDescent="0.25">
      <c r="H17" t="s">
        <v>202</v>
      </c>
      <c r="I17">
        <v>2</v>
      </c>
      <c r="J17" s="36">
        <f>$J$6*I17</f>
        <v>416.666</v>
      </c>
      <c r="K17" s="36">
        <f t="shared" si="0"/>
        <v>484.22299999999933</v>
      </c>
    </row>
    <row r="18" spans="1:12" x14ac:dyDescent="0.25">
      <c r="A18" t="s">
        <v>207</v>
      </c>
      <c r="B18">
        <v>1913</v>
      </c>
      <c r="D18">
        <v>484.24</v>
      </c>
      <c r="E18" s="1">
        <v>39846</v>
      </c>
      <c r="F18" s="46">
        <v>39853</v>
      </c>
      <c r="G18" s="45" t="s">
        <v>224</v>
      </c>
      <c r="K18" s="36">
        <f>J18+K17-D18</f>
        <v>-1.7000000000678028E-2</v>
      </c>
      <c r="L18">
        <f>B18-D18</f>
        <v>1428.76</v>
      </c>
    </row>
    <row r="19" spans="1:12" x14ac:dyDescent="0.25">
      <c r="A19" t="s">
        <v>206</v>
      </c>
      <c r="B19" s="49">
        <f>6710.8-B18</f>
        <v>4797.8</v>
      </c>
      <c r="C19" s="49"/>
      <c r="D19">
        <v>0</v>
      </c>
      <c r="E19" s="1"/>
      <c r="F19" s="45"/>
      <c r="G19" s="49" t="s">
        <v>208</v>
      </c>
      <c r="K19" s="36"/>
      <c r="L19" s="49">
        <f>B19</f>
        <v>4797.8</v>
      </c>
    </row>
    <row r="20" spans="1:12" s="48" customFormat="1" x14ac:dyDescent="0.25">
      <c r="A20" s="48" t="s">
        <v>204</v>
      </c>
      <c r="K20" s="36">
        <v>0</v>
      </c>
      <c r="L20" s="48">
        <f>SUM(L8:L19)</f>
        <v>7002.56</v>
      </c>
    </row>
    <row r="21" spans="1:12" s="48" customFormat="1" x14ac:dyDescent="0.25"/>
    <row r="22" spans="1:12" s="48" customFormat="1" x14ac:dyDescent="0.25">
      <c r="A22" s="48" t="s">
        <v>205</v>
      </c>
    </row>
    <row r="23" spans="1:12" x14ac:dyDescent="0.25">
      <c r="H23" t="s">
        <v>187</v>
      </c>
      <c r="I23">
        <v>2</v>
      </c>
      <c r="J23" s="36">
        <f>$J$6*I23</f>
        <v>416.666</v>
      </c>
      <c r="K23" s="36">
        <f>J23+K20-D23</f>
        <v>416.666</v>
      </c>
    </row>
    <row r="24" spans="1:12" x14ac:dyDescent="0.25">
      <c r="H24" t="s">
        <v>214</v>
      </c>
      <c r="I24">
        <v>2</v>
      </c>
      <c r="J24" s="36">
        <f>$J$6*I24</f>
        <v>416.666</v>
      </c>
      <c r="K24" s="36">
        <f t="shared" ref="K24:K34" si="1">J24+K23-D24</f>
        <v>833.33199999999999</v>
      </c>
    </row>
    <row r="25" spans="1:12" x14ac:dyDescent="0.25">
      <c r="A25" t="s">
        <v>222</v>
      </c>
      <c r="B25">
        <v>706.5</v>
      </c>
      <c r="D25">
        <v>706.5</v>
      </c>
      <c r="E25" s="1">
        <v>39881</v>
      </c>
      <c r="F25" s="46">
        <v>39891</v>
      </c>
      <c r="G25" t="s">
        <v>278</v>
      </c>
      <c r="J25" s="36"/>
      <c r="K25" s="36">
        <f t="shared" si="1"/>
        <v>126.83199999999999</v>
      </c>
    </row>
    <row r="26" spans="1:12" x14ac:dyDescent="0.25">
      <c r="H26" t="s">
        <v>215</v>
      </c>
      <c r="I26">
        <v>2</v>
      </c>
      <c r="J26" s="36">
        <f>$J$6*I26</f>
        <v>416.666</v>
      </c>
      <c r="K26" s="36">
        <f t="shared" si="1"/>
        <v>543.49800000000005</v>
      </c>
    </row>
    <row r="27" spans="1:12" x14ac:dyDescent="0.25">
      <c r="H27" t="s">
        <v>233</v>
      </c>
      <c r="I27">
        <v>2</v>
      </c>
      <c r="J27" s="36">
        <f>$J$6*I27</f>
        <v>416.666</v>
      </c>
      <c r="K27" s="36">
        <f t="shared" si="1"/>
        <v>960.16399999999999</v>
      </c>
    </row>
    <row r="28" spans="1:12" x14ac:dyDescent="0.25">
      <c r="A28" t="s">
        <v>232</v>
      </c>
      <c r="B28">
        <v>565.20000000000005</v>
      </c>
      <c r="D28">
        <v>565.20000000000005</v>
      </c>
      <c r="E28" s="1">
        <v>39940</v>
      </c>
      <c r="G28" t="s">
        <v>257</v>
      </c>
      <c r="J28" s="36"/>
      <c r="K28" s="36">
        <f t="shared" si="1"/>
        <v>394.96399999999994</v>
      </c>
    </row>
    <row r="29" spans="1:12" x14ac:dyDescent="0.25">
      <c r="A29" t="s">
        <v>235</v>
      </c>
      <c r="B29">
        <f>2*141.3</f>
        <v>282.60000000000002</v>
      </c>
      <c r="D29">
        <v>282.60000000000002</v>
      </c>
      <c r="E29" s="1">
        <v>39940</v>
      </c>
      <c r="G29" t="s">
        <v>257</v>
      </c>
      <c r="K29" s="36">
        <f t="shared" si="1"/>
        <v>112.36399999999992</v>
      </c>
    </row>
    <row r="30" spans="1:12" x14ac:dyDescent="0.25">
      <c r="H30" t="s">
        <v>252</v>
      </c>
      <c r="I30">
        <v>1</v>
      </c>
      <c r="J30" s="36">
        <f>$J$6*I30</f>
        <v>208.333</v>
      </c>
      <c r="K30" s="36">
        <f t="shared" si="1"/>
        <v>320.69699999999989</v>
      </c>
    </row>
    <row r="31" spans="1:12" x14ac:dyDescent="0.25">
      <c r="A31" t="s">
        <v>236</v>
      </c>
      <c r="B31">
        <f>2*141.3</f>
        <v>282.60000000000002</v>
      </c>
      <c r="D31">
        <f>B31</f>
        <v>282.60000000000002</v>
      </c>
      <c r="E31" s="1">
        <v>39954</v>
      </c>
      <c r="G31" t="s">
        <v>257</v>
      </c>
      <c r="K31" s="36">
        <f t="shared" si="1"/>
        <v>38.096999999999866</v>
      </c>
    </row>
    <row r="32" spans="1:12" x14ac:dyDescent="0.25">
      <c r="H32" t="s">
        <v>253</v>
      </c>
      <c r="I32">
        <v>2</v>
      </c>
      <c r="J32" s="36">
        <f>$J$6*I32</f>
        <v>416.666</v>
      </c>
      <c r="K32" s="36">
        <f t="shared" si="1"/>
        <v>454.76299999999986</v>
      </c>
    </row>
    <row r="33" spans="1:13" x14ac:dyDescent="0.25">
      <c r="A33" t="s">
        <v>250</v>
      </c>
      <c r="B33">
        <f>3*141.3</f>
        <v>423.90000000000003</v>
      </c>
      <c r="D33">
        <f>B33</f>
        <v>423.90000000000003</v>
      </c>
      <c r="E33" s="1">
        <v>39981</v>
      </c>
      <c r="G33" t="s">
        <v>257</v>
      </c>
      <c r="K33" s="36">
        <f t="shared" si="1"/>
        <v>30.862999999999829</v>
      </c>
      <c r="L33">
        <f t="shared" ref="L33:L44" si="2">B33-D33+L32</f>
        <v>0</v>
      </c>
    </row>
    <row r="34" spans="1:13" x14ac:dyDescent="0.25">
      <c r="E34" s="1"/>
      <c r="H34" t="s">
        <v>254</v>
      </c>
      <c r="I34">
        <v>2</v>
      </c>
      <c r="J34" s="36">
        <f>$J$6*I34</f>
        <v>416.666</v>
      </c>
      <c r="K34" s="36">
        <f t="shared" si="1"/>
        <v>447.52899999999983</v>
      </c>
      <c r="L34">
        <f t="shared" si="2"/>
        <v>0</v>
      </c>
      <c r="M34" s="55">
        <f>K34/141.3</f>
        <v>3.1672257607926384</v>
      </c>
    </row>
    <row r="35" spans="1:13" x14ac:dyDescent="0.25">
      <c r="A35" t="s">
        <v>255</v>
      </c>
      <c r="B35">
        <f>2*141.3</f>
        <v>282.60000000000002</v>
      </c>
      <c r="D35">
        <v>282.60000000000002</v>
      </c>
      <c r="E35" s="1">
        <v>40010</v>
      </c>
      <c r="G35" t="s">
        <v>257</v>
      </c>
      <c r="K35" s="36">
        <f>J35+K34-D35</f>
        <v>164.9289999999998</v>
      </c>
      <c r="L35">
        <f t="shared" si="2"/>
        <v>0</v>
      </c>
      <c r="M35" s="55">
        <f t="shared" ref="M35:M41" si="3">K35/141.3</f>
        <v>1.1672257607926382</v>
      </c>
    </row>
    <row r="36" spans="1:13" x14ac:dyDescent="0.25">
      <c r="E36" s="1"/>
      <c r="H36" t="s">
        <v>258</v>
      </c>
      <c r="I36">
        <v>1</v>
      </c>
      <c r="J36" s="36">
        <f>$J$6*I36</f>
        <v>208.333</v>
      </c>
      <c r="K36" s="36">
        <v>373.25</v>
      </c>
      <c r="L36">
        <f t="shared" si="2"/>
        <v>0</v>
      </c>
      <c r="M36" s="55">
        <f t="shared" si="3"/>
        <v>2.641542816702052</v>
      </c>
    </row>
    <row r="37" spans="1:13" x14ac:dyDescent="0.25">
      <c r="A37" t="s">
        <v>260</v>
      </c>
      <c r="B37">
        <f>2*141.3</f>
        <v>282.60000000000002</v>
      </c>
      <c r="D37">
        <v>282.60000000000002</v>
      </c>
      <c r="E37" s="1">
        <v>40031</v>
      </c>
      <c r="G37" t="s">
        <v>257</v>
      </c>
      <c r="K37" s="36">
        <f t="shared" ref="K37:K42" si="4">J37+K36-D37</f>
        <v>90.649999999999977</v>
      </c>
      <c r="L37">
        <f t="shared" si="2"/>
        <v>0</v>
      </c>
      <c r="M37" s="55">
        <f t="shared" si="3"/>
        <v>0.64154281670205215</v>
      </c>
    </row>
    <row r="38" spans="1:13" x14ac:dyDescent="0.25">
      <c r="E38" s="1"/>
      <c r="H38" t="s">
        <v>259</v>
      </c>
      <c r="I38">
        <v>1</v>
      </c>
      <c r="J38" s="36">
        <f>$J$6*I38</f>
        <v>208.333</v>
      </c>
      <c r="K38" s="36">
        <f t="shared" si="4"/>
        <v>298.98299999999995</v>
      </c>
      <c r="L38">
        <f t="shared" si="2"/>
        <v>0</v>
      </c>
      <c r="M38" s="55">
        <f t="shared" si="3"/>
        <v>2.1159447983014856</v>
      </c>
    </row>
    <row r="39" spans="1:13" x14ac:dyDescent="0.25">
      <c r="A39" t="s">
        <v>261</v>
      </c>
      <c r="B39">
        <f>2*141.3</f>
        <v>282.60000000000002</v>
      </c>
      <c r="D39">
        <v>282.60000000000002</v>
      </c>
      <c r="E39" s="1">
        <v>40042</v>
      </c>
      <c r="G39" t="s">
        <v>257</v>
      </c>
      <c r="K39" s="36">
        <f t="shared" si="4"/>
        <v>16.382999999999925</v>
      </c>
      <c r="L39">
        <f t="shared" si="2"/>
        <v>0</v>
      </c>
      <c r="M39" s="55">
        <f>K39/141.3</f>
        <v>0.11594479830148566</v>
      </c>
    </row>
    <row r="40" spans="1:13" x14ac:dyDescent="0.25">
      <c r="E40" s="1"/>
      <c r="H40" t="s">
        <v>256</v>
      </c>
      <c r="I40">
        <v>2</v>
      </c>
      <c r="J40" s="36">
        <f>$J$6*I40</f>
        <v>416.666</v>
      </c>
      <c r="K40" s="36">
        <f t="shared" si="4"/>
        <v>433.04899999999992</v>
      </c>
      <c r="L40">
        <f t="shared" si="2"/>
        <v>0</v>
      </c>
      <c r="M40" s="55">
        <f>K40/141.3</f>
        <v>3.0647487615003532</v>
      </c>
    </row>
    <row r="41" spans="1:13" x14ac:dyDescent="0.25">
      <c r="A41" t="s">
        <v>251</v>
      </c>
      <c r="B41">
        <f>3*141.3</f>
        <v>423.90000000000003</v>
      </c>
      <c r="D41">
        <v>423.9</v>
      </c>
      <c r="E41" s="1">
        <v>40072</v>
      </c>
      <c r="G41" t="s">
        <v>257</v>
      </c>
      <c r="K41" s="36">
        <f t="shared" si="4"/>
        <v>9.1489999999999441</v>
      </c>
      <c r="L41" s="36">
        <f t="shared" si="2"/>
        <v>5.6843418860808015E-14</v>
      </c>
      <c r="M41" s="55">
        <f t="shared" si="3"/>
        <v>6.4748761500353455E-2</v>
      </c>
    </row>
    <row r="42" spans="1:13" x14ac:dyDescent="0.25">
      <c r="H42" t="s">
        <v>279</v>
      </c>
      <c r="I42">
        <v>2</v>
      </c>
      <c r="J42" s="36">
        <f>$J$6*I42</f>
        <v>416.666</v>
      </c>
      <c r="K42" s="36">
        <f t="shared" si="4"/>
        <v>425.81499999999994</v>
      </c>
      <c r="L42" s="36">
        <f t="shared" si="2"/>
        <v>5.6843418860808015E-14</v>
      </c>
      <c r="M42" s="55">
        <f t="shared" ref="M42:M49" si="5">K42/117</f>
        <v>3.639444444444444</v>
      </c>
    </row>
    <row r="43" spans="1:13" x14ac:dyDescent="0.25">
      <c r="A43" t="s">
        <v>280</v>
      </c>
      <c r="B43">
        <f>117*3</f>
        <v>351</v>
      </c>
      <c r="C43">
        <f>18.75*3</f>
        <v>56.25</v>
      </c>
      <c r="D43">
        <v>351</v>
      </c>
      <c r="E43" s="1">
        <v>40102</v>
      </c>
      <c r="G43" t="s">
        <v>257</v>
      </c>
      <c r="K43" s="36">
        <f t="shared" ref="K43:K49" si="6">J43+K42-D43</f>
        <v>74.814999999999941</v>
      </c>
      <c r="L43" s="36">
        <f>B43-D43+L42</f>
        <v>5.6843418860808015E-14</v>
      </c>
      <c r="M43" s="55">
        <f t="shared" si="5"/>
        <v>0.63944444444444393</v>
      </c>
    </row>
    <row r="44" spans="1:13" x14ac:dyDescent="0.25">
      <c r="H44" t="s">
        <v>291</v>
      </c>
      <c r="I44">
        <v>3</v>
      </c>
      <c r="J44" s="36">
        <f>$J$6*I44</f>
        <v>624.99900000000002</v>
      </c>
      <c r="K44" s="36">
        <f t="shared" si="6"/>
        <v>699.81399999999996</v>
      </c>
      <c r="L44" s="36">
        <f t="shared" si="2"/>
        <v>5.6843418860808015E-14</v>
      </c>
      <c r="M44" s="55">
        <f t="shared" si="5"/>
        <v>5.9813162393162393</v>
      </c>
    </row>
    <row r="45" spans="1:13" x14ac:dyDescent="0.25">
      <c r="J45" s="36">
        <v>0.02</v>
      </c>
      <c r="K45" s="36">
        <f t="shared" si="6"/>
        <v>699.83399999999995</v>
      </c>
      <c r="L45" s="36">
        <f t="shared" ref="L45:L50" si="7">B45-D45+L44</f>
        <v>5.6843418860808015E-14</v>
      </c>
      <c r="M45" s="55">
        <f t="shared" si="5"/>
        <v>5.9814871794871793</v>
      </c>
    </row>
    <row r="46" spans="1:13" x14ac:dyDescent="0.25">
      <c r="A46" t="s">
        <v>290</v>
      </c>
      <c r="B46">
        <f>117*6</f>
        <v>702</v>
      </c>
      <c r="C46">
        <f>18.75*6</f>
        <v>112.5</v>
      </c>
      <c r="D46">
        <v>699.83</v>
      </c>
      <c r="K46" s="36">
        <f t="shared" si="6"/>
        <v>3.9999999999054126E-3</v>
      </c>
      <c r="L46" s="36">
        <f t="shared" si="7"/>
        <v>2.1700000000000159</v>
      </c>
      <c r="M46" s="55">
        <f t="shared" si="5"/>
        <v>3.4188034187225749E-5</v>
      </c>
    </row>
    <row r="47" spans="1:13" x14ac:dyDescent="0.25">
      <c r="H47" t="s">
        <v>289</v>
      </c>
      <c r="I47">
        <v>2</v>
      </c>
      <c r="J47" s="36">
        <f>$J$6*I47</f>
        <v>416.666</v>
      </c>
      <c r="K47" s="36">
        <f t="shared" si="6"/>
        <v>416.6699999999999</v>
      </c>
      <c r="L47" s="36">
        <f t="shared" si="7"/>
        <v>2.1700000000000159</v>
      </c>
      <c r="M47" s="55">
        <f t="shared" si="5"/>
        <v>3.5612820512820504</v>
      </c>
    </row>
    <row r="48" spans="1:13" x14ac:dyDescent="0.25">
      <c r="A48" t="s">
        <v>292</v>
      </c>
      <c r="B48">
        <f>117*4+58.5</f>
        <v>526.5</v>
      </c>
      <c r="C48">
        <f>18.75*4</f>
        <v>75</v>
      </c>
      <c r="D48">
        <v>416.67</v>
      </c>
      <c r="E48" s="1">
        <v>40186</v>
      </c>
      <c r="K48" s="36">
        <f t="shared" si="6"/>
        <v>0</v>
      </c>
      <c r="L48" s="36">
        <f t="shared" si="7"/>
        <v>112</v>
      </c>
      <c r="M48" s="55">
        <f t="shared" si="5"/>
        <v>0</v>
      </c>
    </row>
    <row r="49" spans="1:13" x14ac:dyDescent="0.25">
      <c r="J49" s="36">
        <f>$J$6*I49</f>
        <v>0</v>
      </c>
      <c r="K49" s="36">
        <f t="shared" si="6"/>
        <v>0</v>
      </c>
      <c r="L49" s="36">
        <f t="shared" si="7"/>
        <v>112</v>
      </c>
      <c r="M49" s="55">
        <f t="shared" si="5"/>
        <v>0</v>
      </c>
    </row>
    <row r="50" spans="1:13" x14ac:dyDescent="0.25">
      <c r="A50" t="s">
        <v>293</v>
      </c>
      <c r="B50">
        <f>117*3</f>
        <v>351</v>
      </c>
      <c r="C50">
        <f>18.75*4</f>
        <v>75</v>
      </c>
      <c r="E50" s="1"/>
      <c r="K50" s="36">
        <f>J50+K49-D50</f>
        <v>0</v>
      </c>
      <c r="L50" s="36">
        <f t="shared" si="7"/>
        <v>463</v>
      </c>
      <c r="M50" s="55">
        <f>K50/117</f>
        <v>0</v>
      </c>
    </row>
    <row r="51" spans="1:13" s="48" customFormat="1" x14ac:dyDescent="0.25">
      <c r="A51" s="48" t="s">
        <v>294</v>
      </c>
      <c r="D51" s="48">
        <f>SUM(D25:D50)</f>
        <v>5000</v>
      </c>
      <c r="K51" s="36">
        <v>0</v>
      </c>
      <c r="L51" s="48">
        <f>SUM(L39:L50)</f>
        <v>691.34000000000037</v>
      </c>
    </row>
    <row r="53" spans="1:13" x14ac:dyDescent="0.25">
      <c r="A53" t="s">
        <v>335</v>
      </c>
      <c r="B53">
        <f>8*117</f>
        <v>936</v>
      </c>
      <c r="D53">
        <v>936</v>
      </c>
      <c r="E53" s="1">
        <v>40458</v>
      </c>
    </row>
    <row r="54" spans="1:13" x14ac:dyDescent="0.25">
      <c r="A54" s="75" t="s">
        <v>343</v>
      </c>
      <c r="B54">
        <v>1600</v>
      </c>
      <c r="D54">
        <v>1600</v>
      </c>
      <c r="E54" s="1">
        <v>40527</v>
      </c>
    </row>
    <row r="55" spans="1:13" x14ac:dyDescent="0.25">
      <c r="A55" s="75" t="s">
        <v>345</v>
      </c>
      <c r="B55">
        <v>381.5</v>
      </c>
      <c r="E55" s="1">
        <v>40527</v>
      </c>
    </row>
    <row r="56" spans="1:13" x14ac:dyDescent="0.25">
      <c r="A56" s="75" t="s">
        <v>344</v>
      </c>
      <c r="B56">
        <v>372</v>
      </c>
      <c r="E56" s="1">
        <v>40557</v>
      </c>
    </row>
    <row r="57" spans="1:13" x14ac:dyDescent="0.25">
      <c r="A57" s="75" t="s">
        <v>346</v>
      </c>
      <c r="B57">
        <v>336</v>
      </c>
      <c r="E57" s="1">
        <v>40557</v>
      </c>
    </row>
    <row r="58" spans="1:13" x14ac:dyDescent="0.25">
      <c r="A58" s="75" t="s">
        <v>347</v>
      </c>
      <c r="B58">
        <v>374.5</v>
      </c>
      <c r="E58" s="1">
        <v>40557</v>
      </c>
    </row>
    <row r="59" spans="1:13" x14ac:dyDescent="0.25">
      <c r="E59" s="1"/>
    </row>
    <row r="60" spans="1:13" x14ac:dyDescent="0.25">
      <c r="A60" s="75" t="s">
        <v>63</v>
      </c>
      <c r="B60">
        <f>SUM(B54:B58)/2+B53</f>
        <v>2468</v>
      </c>
    </row>
    <row r="61" spans="1:13" x14ac:dyDescent="0.25">
      <c r="A61" s="75" t="s">
        <v>52</v>
      </c>
      <c r="B61">
        <f>SUM(B54:B58)/2</f>
        <v>1532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E5"/>
  <sheetViews>
    <sheetView workbookViewId="0">
      <selection activeCell="A22" sqref="A22"/>
    </sheetView>
  </sheetViews>
  <sheetFormatPr defaultRowHeight="13.2" x14ac:dyDescent="0.25"/>
  <cols>
    <col min="2" max="2" width="10.109375" bestFit="1" customWidth="1"/>
    <col min="3" max="3" width="10.109375" customWidth="1"/>
    <col min="4" max="4" width="10.33203125" style="8" bestFit="1" customWidth="1"/>
  </cols>
  <sheetData>
    <row r="2" spans="1:5" x14ac:dyDescent="0.25">
      <c r="A2" t="s">
        <v>57</v>
      </c>
      <c r="B2" s="1">
        <v>39386</v>
      </c>
      <c r="C2" t="s">
        <v>60</v>
      </c>
      <c r="D2" s="8">
        <v>1972.65</v>
      </c>
    </row>
    <row r="3" spans="1:5" x14ac:dyDescent="0.25">
      <c r="A3" t="s">
        <v>57</v>
      </c>
      <c r="B3" s="1">
        <v>39401</v>
      </c>
      <c r="C3" s="1" t="s">
        <v>59</v>
      </c>
      <c r="D3" s="8">
        <v>1911</v>
      </c>
      <c r="E3" t="s">
        <v>58</v>
      </c>
    </row>
    <row r="5" spans="1:5" x14ac:dyDescent="0.25">
      <c r="A5" t="s">
        <v>57</v>
      </c>
      <c r="B5" s="1">
        <v>39430</v>
      </c>
      <c r="C5" t="s">
        <v>61</v>
      </c>
      <c r="D5" s="8">
        <v>1232.9000000000001</v>
      </c>
    </row>
  </sheetData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B12" sqref="B12"/>
    </sheetView>
  </sheetViews>
  <sheetFormatPr defaultColWidth="22.88671875" defaultRowHeight="13.2" x14ac:dyDescent="0.25"/>
  <cols>
    <col min="1" max="1" width="32.6640625" customWidth="1"/>
    <col min="2" max="2" width="11.33203125" bestFit="1" customWidth="1"/>
    <col min="3" max="4" width="10.44140625" bestFit="1" customWidth="1"/>
    <col min="5" max="5" width="9.5546875" bestFit="1" customWidth="1"/>
  </cols>
  <sheetData>
    <row r="1" spans="1:5" x14ac:dyDescent="0.25">
      <c r="A1" t="s">
        <v>372</v>
      </c>
    </row>
    <row r="7" spans="1:5" ht="31.2" x14ac:dyDescent="0.25">
      <c r="A7" s="76" t="s">
        <v>373</v>
      </c>
      <c r="B7" s="76" t="s">
        <v>374</v>
      </c>
      <c r="C7" s="76" t="s">
        <v>380</v>
      </c>
      <c r="D7" s="76" t="s">
        <v>375</v>
      </c>
      <c r="E7" s="76" t="s">
        <v>20</v>
      </c>
    </row>
    <row r="8" spans="1:5" ht="15.6" x14ac:dyDescent="0.25">
      <c r="A8" s="76" t="s">
        <v>376</v>
      </c>
      <c r="B8" s="77">
        <v>250</v>
      </c>
      <c r="C8" s="134" t="s">
        <v>383</v>
      </c>
      <c r="D8" s="76"/>
      <c r="E8" s="76"/>
    </row>
    <row r="9" spans="1:5" ht="15.6" x14ac:dyDescent="0.25">
      <c r="A9" s="78" t="s">
        <v>381</v>
      </c>
      <c r="B9" s="77">
        <f>105*3</f>
        <v>315</v>
      </c>
      <c r="C9" s="134"/>
      <c r="D9" s="76"/>
      <c r="E9" s="79"/>
    </row>
    <row r="10" spans="1:5" ht="15.6" x14ac:dyDescent="0.25">
      <c r="A10" s="76" t="s">
        <v>377</v>
      </c>
      <c r="B10" s="77">
        <v>55</v>
      </c>
      <c r="C10" s="76"/>
      <c r="D10" s="135">
        <v>-160</v>
      </c>
      <c r="E10" s="76"/>
    </row>
    <row r="11" spans="1:5" ht="15.6" x14ac:dyDescent="0.25">
      <c r="A11" s="76" t="s">
        <v>378</v>
      </c>
      <c r="B11" s="77">
        <v>105</v>
      </c>
      <c r="C11" s="135">
        <v>-441</v>
      </c>
      <c r="D11" s="135"/>
      <c r="E11" s="76"/>
    </row>
    <row r="12" spans="1:5" ht="15.6" x14ac:dyDescent="0.25">
      <c r="A12" s="76" t="s">
        <v>382</v>
      </c>
      <c r="B12" s="77">
        <f>105*5</f>
        <v>525</v>
      </c>
      <c r="C12" s="135"/>
      <c r="D12" s="76"/>
      <c r="E12" s="76"/>
    </row>
    <row r="13" spans="1:5" ht="15.6" x14ac:dyDescent="0.25">
      <c r="A13" s="80" t="s">
        <v>384</v>
      </c>
      <c r="B13" s="81">
        <v>11.3</v>
      </c>
      <c r="C13" s="82"/>
      <c r="D13" s="80"/>
      <c r="E13" s="80"/>
    </row>
    <row r="14" spans="1:5" ht="16.2" thickBot="1" x14ac:dyDescent="0.3">
      <c r="A14" s="80" t="s">
        <v>384</v>
      </c>
      <c r="B14" s="81">
        <v>15.31</v>
      </c>
      <c r="C14" s="82"/>
      <c r="D14" s="80"/>
      <c r="E14" s="80"/>
    </row>
    <row r="15" spans="1:5" ht="16.2" thickBot="1" x14ac:dyDescent="0.3">
      <c r="A15" s="83" t="s">
        <v>379</v>
      </c>
      <c r="B15" s="84">
        <f>SUM(B8:B14)</f>
        <v>1276.6099999999999</v>
      </c>
      <c r="C15" s="84">
        <f>SUM(C8:C14)</f>
        <v>-441</v>
      </c>
      <c r="D15" s="84">
        <f>SUM(D8:D14)</f>
        <v>-160</v>
      </c>
      <c r="E15" s="84">
        <f>SUM(B15:D15)</f>
        <v>675.6099999999999</v>
      </c>
    </row>
  </sheetData>
  <mergeCells count="3">
    <mergeCell ref="C8:C9"/>
    <mergeCell ref="D10:D11"/>
    <mergeCell ref="C11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2007-11 medical bills</vt:lpstr>
      <vt:lpstr>HSA</vt:lpstr>
      <vt:lpstr>childcare</vt:lpstr>
      <vt:lpstr>DCAP</vt:lpstr>
      <vt:lpstr>2007 ShTermDis</vt:lpstr>
      <vt:lpstr>gary mackendrick</vt:lpstr>
      <vt:lpstr>'2007-11 medical bills'!Print_Area</vt:lpstr>
    </vt:vector>
  </TitlesOfParts>
  <Company>Intel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rbrobert</dc:creator>
  <cp:lastModifiedBy>Bailey Roberts, Roberta</cp:lastModifiedBy>
  <cp:lastPrinted>2008-01-04T19:23:50Z</cp:lastPrinted>
  <dcterms:created xsi:type="dcterms:W3CDTF">2007-11-15T19:36:44Z</dcterms:created>
  <dcterms:modified xsi:type="dcterms:W3CDTF">2016-02-16T18:04:50Z</dcterms:modified>
</cp:coreProperties>
</file>