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Documents\misc\health_medical\"/>
    </mc:Choice>
  </mc:AlternateContent>
  <bookViews>
    <workbookView xWindow="-15" yWindow="-15" windowWidth="16545" windowHeight="8250"/>
  </bookViews>
  <sheets>
    <sheet name="2007-17 medical bills" sheetId="1" r:id="rId1"/>
    <sheet name="Rx notes" sheetId="7" r:id="rId2"/>
    <sheet name="HSA" sheetId="2" r:id="rId3"/>
    <sheet name="childcare" sheetId="5" r:id="rId4"/>
    <sheet name="DCAP" sheetId="4" r:id="rId5"/>
    <sheet name="2007 ShTermDis" sheetId="3" r:id="rId6"/>
    <sheet name="gary mackendrick" sheetId="6" r:id="rId7"/>
  </sheets>
  <definedNames>
    <definedName name="_xlnm._FilterDatabase" localSheetId="0" hidden="1">'2007-17 medical bills'!$A$5:$T$229</definedName>
    <definedName name="_xlnm.Print_Area" localSheetId="0">'2007-17 medical bills'!$A:$T</definedName>
  </definedNames>
  <calcPr calcId="152511"/>
</workbook>
</file>

<file path=xl/calcChain.xml><?xml version="1.0" encoding="utf-8"?>
<calcChain xmlns="http://schemas.openxmlformats.org/spreadsheetml/2006/main">
  <c r="L236" i="1" l="1"/>
  <c r="J236" i="1"/>
  <c r="G236" i="1"/>
  <c r="G232" i="1" l="1"/>
  <c r="L232" i="1" s="1"/>
  <c r="J232" i="1"/>
  <c r="J229" i="1" l="1"/>
  <c r="H229" i="1"/>
  <c r="G229" i="1"/>
  <c r="L229" i="1" s="1"/>
  <c r="J230" i="1"/>
  <c r="G230" i="1"/>
  <c r="L230" i="1" s="1"/>
  <c r="K221" i="1" l="1"/>
  <c r="H221" i="1"/>
  <c r="G221" i="1"/>
  <c r="L221" i="1" s="1"/>
  <c r="L228" i="1" l="1"/>
  <c r="G225" i="1"/>
  <c r="J227" i="1" l="1"/>
  <c r="G227" i="1"/>
  <c r="J226" i="1"/>
  <c r="G226" i="1"/>
  <c r="L226" i="1" s="1"/>
  <c r="G224" i="1"/>
  <c r="M223" i="1"/>
  <c r="G223" i="1"/>
  <c r="L223" i="1" s="1"/>
  <c r="G220" i="1" l="1"/>
  <c r="L220" i="1" s="1"/>
  <c r="G217" i="1"/>
  <c r="L217" i="1" s="1"/>
  <c r="H219" i="1" l="1"/>
  <c r="J219" i="1"/>
  <c r="G219" i="1"/>
  <c r="L219" i="1" s="1"/>
  <c r="L216" i="1" l="1"/>
  <c r="G214" i="1"/>
  <c r="L214" i="1" s="1"/>
  <c r="J213" i="1"/>
  <c r="L213" i="1" s="1"/>
  <c r="I210" i="1" l="1"/>
  <c r="G210" i="1"/>
  <c r="L210" i="1"/>
  <c r="L209" i="1"/>
  <c r="H209" i="1"/>
  <c r="G209" i="1"/>
  <c r="L203" i="1" l="1"/>
  <c r="L204" i="1"/>
  <c r="G204" i="1"/>
  <c r="J203" i="1"/>
  <c r="J202" i="1"/>
  <c r="G202" i="1"/>
  <c r="H96" i="2" l="1"/>
  <c r="G194" i="1" l="1"/>
  <c r="L194" i="1" s="1"/>
  <c r="E15" i="6" l="1"/>
  <c r="D15" i="6"/>
  <c r="C15" i="6"/>
  <c r="B15" i="6"/>
  <c r="B12" i="6"/>
  <c r="B9" i="6"/>
  <c r="B61" i="4"/>
  <c r="B60" i="4"/>
  <c r="B53" i="4"/>
  <c r="L51" i="4"/>
  <c r="D51" i="4"/>
  <c r="M50" i="4"/>
  <c r="L50" i="4"/>
  <c r="K50" i="4"/>
  <c r="C50" i="4"/>
  <c r="B50" i="4"/>
  <c r="M49" i="4"/>
  <c r="L49" i="4"/>
  <c r="K49" i="4"/>
  <c r="J49" i="4"/>
  <c r="M48" i="4"/>
  <c r="L48" i="4"/>
  <c r="K48" i="4"/>
  <c r="C48" i="4"/>
  <c r="B48" i="4"/>
  <c r="M47" i="4"/>
  <c r="L47" i="4"/>
  <c r="K47" i="4"/>
  <c r="J47" i="4"/>
  <c r="M46" i="4"/>
  <c r="L46" i="4"/>
  <c r="K46" i="4"/>
  <c r="C46" i="4"/>
  <c r="B46" i="4"/>
  <c r="M45" i="4"/>
  <c r="L45" i="4"/>
  <c r="K45" i="4"/>
  <c r="M44" i="4"/>
  <c r="L44" i="4"/>
  <c r="K44" i="4"/>
  <c r="J44" i="4"/>
  <c r="M43" i="4"/>
  <c r="L43" i="4"/>
  <c r="K43" i="4"/>
  <c r="C43" i="4"/>
  <c r="B43" i="4"/>
  <c r="M42" i="4"/>
  <c r="L42" i="4"/>
  <c r="K42" i="4"/>
  <c r="J42" i="4"/>
  <c r="M41" i="4"/>
  <c r="L41" i="4"/>
  <c r="K41" i="4"/>
  <c r="B41" i="4"/>
  <c r="M40" i="4"/>
  <c r="L40" i="4"/>
  <c r="K40" i="4"/>
  <c r="J40" i="4"/>
  <c r="M39" i="4"/>
  <c r="L39" i="4"/>
  <c r="K39" i="4"/>
  <c r="B39" i="4"/>
  <c r="M38" i="4"/>
  <c r="L38" i="4"/>
  <c r="K38" i="4"/>
  <c r="J38" i="4"/>
  <c r="M37" i="4"/>
  <c r="L37" i="4"/>
  <c r="K37" i="4"/>
  <c r="B37" i="4"/>
  <c r="M36" i="4"/>
  <c r="L36" i="4"/>
  <c r="J36" i="4"/>
  <c r="M35" i="4"/>
  <c r="L35" i="4"/>
  <c r="K35" i="4"/>
  <c r="B35" i="4"/>
  <c r="M34" i="4"/>
  <c r="L34" i="4"/>
  <c r="K34" i="4"/>
  <c r="J34" i="4"/>
  <c r="L33" i="4"/>
  <c r="K33" i="4"/>
  <c r="D33" i="4"/>
  <c r="B33" i="4"/>
  <c r="K32" i="4"/>
  <c r="J32" i="4"/>
  <c r="K31" i="4"/>
  <c r="D31" i="4"/>
  <c r="B31" i="4"/>
  <c r="K30" i="4"/>
  <c r="J30" i="4"/>
  <c r="K29" i="4"/>
  <c r="B29" i="4"/>
  <c r="K28" i="4"/>
  <c r="K27" i="4"/>
  <c r="J27" i="4"/>
  <c r="K26" i="4"/>
  <c r="J26" i="4"/>
  <c r="K25" i="4"/>
  <c r="K24" i="4"/>
  <c r="J24" i="4"/>
  <c r="K23" i="4"/>
  <c r="J23" i="4"/>
  <c r="L20" i="4"/>
  <c r="L19" i="4"/>
  <c r="B19" i="4"/>
  <c r="L18" i="4"/>
  <c r="K18" i="4"/>
  <c r="K17" i="4"/>
  <c r="J17" i="4"/>
  <c r="L16" i="4"/>
  <c r="K16" i="4"/>
  <c r="K15" i="4"/>
  <c r="J15" i="4"/>
  <c r="L14" i="4"/>
  <c r="K14" i="4"/>
  <c r="L13" i="4"/>
  <c r="K13" i="4"/>
  <c r="K12" i="4"/>
  <c r="J12" i="4"/>
  <c r="L11" i="4"/>
  <c r="K11" i="4"/>
  <c r="K10" i="4"/>
  <c r="J10" i="4"/>
  <c r="L9" i="4"/>
  <c r="K9" i="4"/>
  <c r="K8" i="4"/>
  <c r="J4" i="4"/>
  <c r="I27" i="5"/>
  <c r="I20" i="5"/>
  <c r="F17" i="5"/>
  <c r="E17" i="5"/>
  <c r="D17" i="5"/>
  <c r="F16" i="5"/>
  <c r="E16" i="5"/>
  <c r="D16" i="5"/>
  <c r="K15" i="5"/>
  <c r="J15" i="5"/>
  <c r="I15" i="5"/>
  <c r="H15" i="5"/>
  <c r="G15" i="5"/>
  <c r="F15" i="5"/>
  <c r="E15" i="5"/>
  <c r="D15" i="5"/>
  <c r="K11" i="5"/>
  <c r="I11" i="5"/>
  <c r="K10" i="5"/>
  <c r="I10" i="5"/>
  <c r="K9" i="5"/>
  <c r="I9" i="5"/>
  <c r="K8" i="5"/>
  <c r="I8" i="5"/>
  <c r="H8" i="5"/>
  <c r="K7" i="5"/>
  <c r="I7" i="5"/>
  <c r="H7" i="5"/>
  <c r="K6" i="5"/>
  <c r="I6" i="5"/>
  <c r="K5" i="5"/>
  <c r="I5" i="5"/>
  <c r="K4" i="5"/>
  <c r="I4" i="5"/>
  <c r="H93" i="2"/>
  <c r="J92" i="2"/>
  <c r="H90" i="2"/>
  <c r="H83" i="2"/>
  <c r="H82" i="2"/>
  <c r="H81" i="2"/>
  <c r="F81" i="2"/>
  <c r="L80" i="2"/>
  <c r="H80" i="2"/>
  <c r="M79" i="2"/>
  <c r="H79" i="2"/>
  <c r="M78" i="2"/>
  <c r="H78" i="2"/>
  <c r="M77" i="2"/>
  <c r="H77" i="2"/>
  <c r="M76" i="2"/>
  <c r="L75" i="2"/>
  <c r="M74" i="2"/>
  <c r="H74" i="2"/>
  <c r="H73" i="2"/>
  <c r="F73" i="2"/>
  <c r="H72" i="2"/>
  <c r="H68" i="2"/>
  <c r="H67" i="2"/>
  <c r="H66" i="2"/>
  <c r="G66" i="2"/>
  <c r="H65" i="2"/>
  <c r="F65" i="2"/>
  <c r="H64" i="2"/>
  <c r="F64" i="2"/>
  <c r="H63" i="2"/>
  <c r="G63" i="2"/>
  <c r="H62" i="2"/>
  <c r="H61" i="2"/>
  <c r="H60" i="2"/>
  <c r="G60" i="2"/>
  <c r="H59" i="2"/>
  <c r="F59" i="2"/>
  <c r="H58" i="2"/>
  <c r="H57" i="2"/>
  <c r="H56" i="2"/>
  <c r="G56" i="2"/>
  <c r="H55" i="2"/>
  <c r="G55" i="2"/>
  <c r="H54" i="2"/>
  <c r="H53" i="2"/>
  <c r="H52" i="2"/>
  <c r="H51" i="2"/>
  <c r="H50" i="2"/>
  <c r="H49" i="2"/>
  <c r="G48" i="2"/>
  <c r="H47" i="2"/>
  <c r="G47" i="2"/>
  <c r="H46" i="2"/>
  <c r="H45" i="2"/>
  <c r="H44" i="2"/>
  <c r="H43" i="2"/>
  <c r="H42" i="2"/>
  <c r="H41" i="2"/>
  <c r="H40" i="2"/>
  <c r="H39" i="2"/>
  <c r="H38" i="2"/>
  <c r="G38" i="2"/>
  <c r="H37" i="2"/>
  <c r="G36" i="2"/>
  <c r="H35" i="2"/>
  <c r="G35" i="2"/>
  <c r="H34" i="2"/>
  <c r="F34" i="2"/>
  <c r="H33" i="2"/>
  <c r="H32" i="2"/>
  <c r="H25" i="2"/>
  <c r="H24" i="2"/>
  <c r="H23" i="2"/>
  <c r="H22" i="2"/>
  <c r="H21" i="2"/>
  <c r="H20" i="2"/>
  <c r="H19" i="2"/>
  <c r="H18" i="2"/>
  <c r="H17" i="2"/>
  <c r="H16" i="2"/>
  <c r="H15" i="2"/>
  <c r="H14" i="2"/>
  <c r="H12" i="2"/>
  <c r="H11" i="2"/>
  <c r="H10" i="2"/>
  <c r="H8" i="2"/>
  <c r="H6" i="2"/>
  <c r="J191" i="1"/>
  <c r="L189" i="1"/>
  <c r="J188" i="1"/>
  <c r="H188" i="1"/>
  <c r="G188" i="1"/>
  <c r="J186" i="1"/>
  <c r="G186" i="1"/>
  <c r="J185" i="1"/>
  <c r="G185" i="1"/>
  <c r="L184" i="1"/>
  <c r="J184" i="1"/>
  <c r="H184" i="1"/>
  <c r="G184" i="1"/>
  <c r="G182" i="1"/>
  <c r="L181" i="1"/>
  <c r="J181" i="1"/>
  <c r="H181" i="1"/>
  <c r="G181" i="1"/>
  <c r="L174" i="1"/>
  <c r="J174" i="1"/>
  <c r="H174" i="1"/>
  <c r="G174" i="1"/>
  <c r="J173" i="1"/>
  <c r="L172" i="1"/>
  <c r="J172" i="1"/>
  <c r="G172" i="1"/>
  <c r="G171" i="1"/>
  <c r="L171" i="1" s="1"/>
  <c r="J170" i="1"/>
  <c r="G170" i="1"/>
  <c r="G168" i="1"/>
  <c r="M167" i="1"/>
  <c r="L167" i="1"/>
  <c r="G167" i="1"/>
  <c r="J161" i="1"/>
  <c r="G161" i="1"/>
  <c r="J160" i="1"/>
  <c r="G160" i="1"/>
  <c r="L160" i="1" s="1"/>
  <c r="G159" i="1"/>
  <c r="L159" i="1" s="1"/>
  <c r="G156" i="1"/>
  <c r="L156" i="1" s="1"/>
  <c r="M157" i="1" s="1"/>
  <c r="K157" i="1" s="1"/>
  <c r="G155" i="1"/>
  <c r="L155" i="1" s="1"/>
  <c r="L154" i="1"/>
  <c r="L153" i="1"/>
  <c r="G152" i="1"/>
  <c r="L151" i="1"/>
  <c r="G150" i="1"/>
  <c r="L150" i="1" s="1"/>
  <c r="G149" i="1"/>
  <c r="L149" i="1" s="1"/>
  <c r="G148" i="1"/>
  <c r="L148" i="1" s="1"/>
  <c r="M147" i="1"/>
  <c r="G147" i="1"/>
  <c r="L147" i="1" s="1"/>
  <c r="L146" i="1"/>
  <c r="G143" i="1"/>
  <c r="L143" i="1" s="1"/>
  <c r="G142" i="1"/>
  <c r="J141" i="1"/>
  <c r="L141" i="1" s="1"/>
  <c r="M140" i="1"/>
  <c r="G140" i="1"/>
  <c r="L140" i="1" s="1"/>
  <c r="G139" i="1"/>
  <c r="L139" i="1" s="1"/>
  <c r="G138" i="1"/>
  <c r="L138" i="1" s="1"/>
  <c r="G137" i="1"/>
  <c r="L137" i="1" s="1"/>
  <c r="M136" i="1"/>
  <c r="G136" i="1"/>
  <c r="L136" i="1" s="1"/>
  <c r="G135" i="1"/>
  <c r="G134" i="1"/>
  <c r="L131" i="1"/>
  <c r="J130" i="1"/>
  <c r="H130" i="1"/>
  <c r="G130" i="1"/>
  <c r="L129" i="1"/>
  <c r="G129" i="1"/>
  <c r="L128" i="1"/>
  <c r="H128" i="1" s="1"/>
  <c r="G127" i="1"/>
  <c r="L127" i="1" s="1"/>
  <c r="L126" i="1"/>
  <c r="G126" i="1" s="1"/>
  <c r="G123" i="1"/>
  <c r="H122" i="1"/>
  <c r="G122" i="1"/>
  <c r="L121" i="1"/>
  <c r="G121" i="1"/>
  <c r="J120" i="1"/>
  <c r="G120" i="1"/>
  <c r="J118" i="1"/>
  <c r="H118" i="1"/>
  <c r="G118" i="1"/>
  <c r="G117" i="1"/>
  <c r="G116" i="1"/>
  <c r="G114" i="1"/>
  <c r="L114" i="1" s="1"/>
  <c r="J113" i="1"/>
  <c r="H113" i="1"/>
  <c r="G113" i="1"/>
  <c r="H112" i="1"/>
  <c r="H111" i="1"/>
  <c r="G108" i="1"/>
  <c r="G107" i="1"/>
  <c r="L107" i="1" s="1"/>
  <c r="K106" i="1"/>
  <c r="L106" i="1" s="1"/>
  <c r="L104" i="1"/>
  <c r="G104" i="1"/>
  <c r="J103" i="1"/>
  <c r="G103" i="1"/>
  <c r="J102" i="1"/>
  <c r="G102" i="1"/>
  <c r="G101" i="1"/>
  <c r="L101" i="1" s="1"/>
  <c r="L100" i="1"/>
  <c r="I100" i="1" s="1"/>
  <c r="I99" i="1"/>
  <c r="H99" i="1"/>
  <c r="G97" i="1"/>
  <c r="I97" i="1" s="1"/>
  <c r="I96" i="1"/>
  <c r="J95" i="1"/>
  <c r="G95" i="1"/>
  <c r="J94" i="1"/>
  <c r="G94" i="1"/>
  <c r="J93" i="1"/>
  <c r="G93" i="1"/>
  <c r="H92" i="1"/>
  <c r="I92" i="1" s="1"/>
  <c r="J91" i="1"/>
  <c r="G91" i="1"/>
  <c r="L90" i="1"/>
  <c r="I89" i="1"/>
  <c r="L89" i="1" s="1"/>
  <c r="L88" i="1"/>
  <c r="H88" i="1"/>
  <c r="I87" i="1"/>
  <c r="G87" i="1"/>
  <c r="H86" i="1"/>
  <c r="I85" i="1"/>
  <c r="G85" i="1"/>
  <c r="G83" i="1"/>
  <c r="L83" i="1" s="1"/>
  <c r="I82" i="1"/>
  <c r="L82" i="1" s="1"/>
  <c r="G81" i="1"/>
  <c r="I80" i="1"/>
  <c r="L80" i="1" s="1"/>
  <c r="G79" i="1"/>
  <c r="L79" i="1" s="1"/>
  <c r="G78" i="1"/>
  <c r="L77" i="1"/>
  <c r="L76" i="1"/>
  <c r="G74" i="1"/>
  <c r="L74" i="1" s="1"/>
  <c r="L73" i="1"/>
  <c r="G73" i="1"/>
  <c r="I72" i="1"/>
  <c r="L72" i="1" s="1"/>
  <c r="G72" i="1"/>
  <c r="L71" i="1"/>
  <c r="G71" i="1" s="1"/>
  <c r="I68" i="1"/>
  <c r="H68" i="1" s="1"/>
  <c r="I67" i="1"/>
  <c r="I66" i="1"/>
  <c r="I65" i="1"/>
  <c r="H64" i="1"/>
  <c r="H63" i="1"/>
  <c r="I60" i="1"/>
  <c r="I59" i="1"/>
  <c r="I58" i="1"/>
  <c r="H57" i="1"/>
  <c r="G57" i="1"/>
  <c r="I56" i="1"/>
  <c r="I55" i="1"/>
  <c r="L54" i="1"/>
  <c r="I54" i="1"/>
  <c r="H54" i="1"/>
  <c r="G54" i="1"/>
  <c r="I52" i="1"/>
  <c r="H52" i="1"/>
  <c r="G52" i="1"/>
  <c r="H46" i="1"/>
  <c r="L45" i="1"/>
  <c r="H45" i="1"/>
  <c r="I45" i="1" s="1"/>
  <c r="G45" i="1"/>
  <c r="I43" i="1"/>
  <c r="L43" i="1" s="1"/>
  <c r="H43" i="1"/>
  <c r="G43" i="1"/>
  <c r="I35" i="1"/>
  <c r="L35" i="1" s="1"/>
  <c r="H32" i="1"/>
  <c r="G32" i="1"/>
  <c r="H31" i="1"/>
  <c r="G31" i="1"/>
  <c r="G29" i="1"/>
  <c r="H28" i="1"/>
  <c r="G28" i="1"/>
  <c r="H27" i="1"/>
  <c r="G27" i="1"/>
  <c r="I26" i="1"/>
  <c r="G26" i="1"/>
  <c r="I25" i="1"/>
  <c r="G24" i="1"/>
  <c r="I24" i="1" s="1"/>
  <c r="L24" i="1" s="1"/>
  <c r="I23" i="1"/>
  <c r="I22" i="1"/>
  <c r="G22" i="1" s="1"/>
  <c r="I21" i="1"/>
  <c r="I19" i="1"/>
  <c r="H18" i="1"/>
  <c r="G18" i="1"/>
  <c r="I17" i="1"/>
  <c r="I16" i="1"/>
  <c r="I15" i="1"/>
  <c r="I14" i="1"/>
  <c r="I13" i="1"/>
  <c r="I12" i="1"/>
  <c r="I11" i="1"/>
  <c r="I10" i="1"/>
  <c r="I9" i="1"/>
  <c r="I8" i="1"/>
  <c r="I7" i="1"/>
  <c r="G99" i="1" l="1"/>
  <c r="G88" i="1"/>
  <c r="L94" i="1"/>
  <c r="L103" i="1"/>
  <c r="H121" i="1"/>
  <c r="H129" i="1"/>
  <c r="I113" i="1"/>
  <c r="J117" i="1"/>
  <c r="L117" i="1" s="1"/>
  <c r="I27" i="1"/>
  <c r="H73" i="1"/>
  <c r="I73" i="1" s="1"/>
  <c r="H85" i="1"/>
  <c r="L93" i="1"/>
  <c r="H120" i="1"/>
  <c r="L122" i="1"/>
  <c r="L161" i="1"/>
  <c r="M161" i="1" s="1"/>
  <c r="I31" i="1"/>
  <c r="L31" i="1" s="1"/>
  <c r="L102" i="1"/>
  <c r="I32" i="1"/>
  <c r="L32" i="1" s="1"/>
  <c r="L120" i="1"/>
  <c r="I172" i="1"/>
  <c r="L188" i="1"/>
  <c r="I88" i="1"/>
  <c r="H91" i="1"/>
  <c r="I91" i="1" s="1"/>
  <c r="L91" i="1" s="1"/>
  <c r="L95" i="1"/>
  <c r="L130" i="1"/>
  <c r="I28" i="1"/>
  <c r="I57" i="1"/>
  <c r="H72" i="1"/>
  <c r="H104" i="1"/>
  <c r="L113" i="1"/>
  <c r="J116" i="1"/>
  <c r="L116" i="1" s="1"/>
  <c r="L118" i="1"/>
  <c r="L170" i="1"/>
  <c r="L78" i="1"/>
  <c r="L99" i="1"/>
  <c r="J115" i="1"/>
  <c r="L115" i="1" s="1"/>
  <c r="M115" i="1" s="1"/>
  <c r="H100" i="1"/>
  <c r="M116" i="1" l="1"/>
  <c r="M117" i="1" s="1"/>
</calcChain>
</file>

<file path=xl/comments1.xml><?xml version="1.0" encoding="utf-8"?>
<comments xmlns="http://schemas.openxmlformats.org/spreadsheetml/2006/main">
  <authors>
    <author>rbrobert</author>
    <author>RBR</author>
    <author>Bailey Roberts, Roberta</author>
  </authors>
  <commentList>
    <comment ref="Q35" authorId="0" shape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  <comment ref="G202" authorId="2" shapeId="0">
      <text>
        <r>
          <rPr>
            <b/>
            <sz val="9"/>
            <color indexed="81"/>
            <rFont val="Tahoma"/>
            <family val="2"/>
          </rPr>
          <t>new charges, without repeats</t>
        </r>
      </text>
    </comment>
    <comment ref="L202" authorId="2" shapeId="0">
      <text>
        <r>
          <rPr>
            <sz val="9"/>
            <color indexed="81"/>
            <rFont val="Tahoma"/>
            <family val="2"/>
          </rPr>
          <t>Includes 18.52 from previous pending to insurance</t>
        </r>
      </text>
    </comment>
    <comment ref="N210" authorId="2" shapeId="0">
      <text>
        <r>
          <rPr>
            <sz val="9"/>
            <color indexed="81"/>
            <rFont val="Tahoma"/>
            <family val="2"/>
          </rPr>
          <t>May have had an additional charge or fees</t>
        </r>
      </text>
    </comment>
    <comment ref="J212" authorId="2" shapeId="0">
      <text>
        <r>
          <rPr>
            <b/>
            <sz val="9"/>
            <color indexed="81"/>
            <rFont val="Tahoma"/>
            <family val="2"/>
          </rPr>
          <t>by check to me</t>
        </r>
      </text>
    </comment>
    <comment ref="G213" authorId="2" shapeId="0">
      <text>
        <r>
          <rPr>
            <sz val="9"/>
            <color indexed="81"/>
            <rFont val="Tahoma"/>
            <family val="2"/>
          </rPr>
          <t>balance forward - not sure details</t>
        </r>
      </text>
    </comment>
    <comment ref="J223" authorId="2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J225" authorId="2" shapeId="0">
      <text>
        <r>
          <rPr>
            <b/>
            <sz val="9"/>
            <color indexed="81"/>
            <rFont val="Tahoma"/>
            <family val="2"/>
          </rPr>
          <t>from next bill</t>
        </r>
      </text>
    </comment>
    <comment ref="L225" authorId="2" shapeId="0">
      <text>
        <r>
          <rPr>
            <b/>
            <sz val="9"/>
            <color indexed="81"/>
            <rFont val="Tahoma"/>
            <family val="2"/>
          </rPr>
          <t>Total due</t>
        </r>
      </text>
    </comment>
    <comment ref="M225" authorId="2" shapeId="0">
      <text>
        <r>
          <rPr>
            <b/>
            <sz val="9"/>
            <color indexed="81"/>
            <rFont val="Tahoma"/>
            <family val="2"/>
          </rPr>
          <t>Includes some outstanding insurance</t>
        </r>
      </text>
    </comment>
    <comment ref="M226" authorId="2" shapeId="0">
      <text>
        <r>
          <rPr>
            <b/>
            <sz val="9"/>
            <color indexed="81"/>
            <rFont val="Tahoma"/>
            <family val="2"/>
          </rPr>
          <t xml:space="preserve">215.1 ins pd on prev
</t>
        </r>
      </text>
    </comment>
    <comment ref="J227" authorId="2" shapeId="0">
      <text>
        <r>
          <rPr>
            <sz val="9"/>
            <color indexed="81"/>
            <rFont val="Tahoma"/>
            <family val="2"/>
          </rPr>
          <t>68 pending to ins,   likely 43.80 or 40.86 will be pd</t>
        </r>
      </text>
    </comment>
    <comment ref="J229" authorId="2" shapeId="0">
      <text>
        <r>
          <rPr>
            <b/>
            <sz val="9"/>
            <color indexed="81"/>
            <rFont val="Tahoma"/>
            <family val="2"/>
          </rPr>
          <t>68 pending insurance</t>
        </r>
      </text>
    </comment>
    <comment ref="J230" authorId="2" shapeId="0">
      <text>
        <r>
          <rPr>
            <b/>
            <sz val="9"/>
            <color indexed="81"/>
            <rFont val="Tahoma"/>
            <family val="2"/>
          </rPr>
          <t>estimated 600.3</t>
        </r>
      </text>
    </comment>
    <comment ref="G233" authorId="2" shapeId="0">
      <text>
        <r>
          <rPr>
            <b/>
            <sz val="9"/>
            <color indexed="81"/>
            <rFont val="Tahoma"/>
            <family val="2"/>
          </rPr>
          <t>49 glasses, 75 for refraction checking</t>
        </r>
      </text>
    </comment>
    <comment ref="J234" authorId="2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 shape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<sst xmlns="http://schemas.openxmlformats.org/spreadsheetml/2006/main" count="1687" uniqueCount="621">
  <si>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</si>
  <si>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</si>
  <si>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</si>
  <si>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</si>
  <si>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</si>
  <si>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</si>
  <si>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</si>
  <si>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</si>
  <si>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</si>
  <si>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</si>
  <si>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</si>
  <si>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</si>
  <si>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</si>
  <si>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</si>
  <si>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</si>
  <si>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</si>
  <si>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</si>
  <si>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</si>
  <si>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</si>
  <si>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</si>
  <si>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</si>
  <si>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</si>
  <si>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</si>
  <si>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</si>
  <si>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</si>
  <si>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</si>
  <si>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</si>
  <si>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</si>
  <si>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</si>
  <si>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</si>
  <si>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</si>
  <si>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</si>
  <si>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</si>
  <si>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</si>
  <si>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</si>
  <si>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</si>
  <si>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</si>
  <si>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</si>
  <si>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</si>
  <si>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</si>
  <si>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</si>
  <si>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</si>
  <si>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</si>
  <si>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</si>
  <si>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</si>
  <si>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</si>
  <si>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</si>
  <si>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</si>
  <si>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</si>
  <si>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</si>
  <si>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</si>
  <si>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</si>
  <si>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</si>
  <si>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</si>
  <si>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</si>
  <si>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</si>
  <si>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</si>
  <si>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</si>
  <si>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</si>
  <si>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</si>
  <si>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</si>
  <si>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</si>
  <si>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</si>
  <si>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</si>
  <si>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</si>
  <si>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</si>
  <si>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</si>
  <si>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</si>
  <si>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</si>
  <si>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</si>
  <si>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</si>
  <si>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</si>
  <si>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</si>
  <si>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</si>
  <si>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</si>
  <si>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</si>
  <si>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</si>
  <si>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</si>
  <si>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</si>
  <si>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</si>
  <si>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</si>
  <si>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</si>
  <si>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</si>
  <si>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</si>
  <si>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</si>
  <si>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</si>
  <si>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</si>
  <si>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</si>
  <si>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</si>
  <si>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</si>
  <si>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</si>
  <si>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</si>
  <si>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</si>
  <si>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</si>
  <si>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</si>
  <si>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</si>
  <si>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</si>
  <si>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</si>
  <si>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</si>
  <si>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</si>
  <si>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</si>
  <si>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</si>
  <si>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</si>
  <si>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</si>
  <si>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</si>
  <si>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</si>
  <si>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</si>
  <si>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</si>
  <si>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</si>
  <si>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</si>
  <si>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</si>
  <si>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</si>
  <si>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</si>
  <si>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</si>
  <si>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</si>
  <si>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</si>
  <si>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</si>
  <si>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</si>
  <si>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</si>
  <si>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</si>
  <si>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</si>
  <si>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</si>
  <si>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</si>
  <si>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</si>
  <si>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</si>
  <si>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</si>
  <si>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</si>
  <si>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</si>
  <si>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</si>
  <si>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</si>
  <si>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</si>
  <si>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</si>
  <si>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</si>
  <si>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</si>
  <si>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</si>
  <si>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</si>
  <si>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</si>
  <si>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</si>
  <si>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</si>
  <si>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</si>
  <si>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</si>
  <si>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</si>
  <si>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</si>
  <si>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</si>
  <si>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</si>
  <si>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</si>
  <si>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</si>
  <si>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</si>
  <si>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</si>
  <si>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</si>
  <si>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</si>
  <si>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</si>
  <si>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</si>
  <si>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</si>
  <si>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</si>
  <si>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</si>
  <si>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</si>
  <si>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</si>
  <si>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</si>
  <si>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</si>
  <si>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</si>
  <si>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</si>
  <si>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</si>
  <si>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</si>
  <si>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</si>
  <si>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</si>
  <si>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</si>
  <si>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</si>
  <si>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</si>
  <si>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</si>
  <si>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</si>
  <si>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</si>
  <si>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</si>
  <si>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</si>
  <si>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</si>
  <si>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</si>
  <si>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</si>
  <si>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</si>
  <si>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</si>
  <si>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</si>
  <si>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</si>
  <si>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</si>
  <si>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</si>
  <si>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</si>
  <si>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</si>
  <si>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</si>
  <si>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</si>
  <si>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</si>
  <si>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</si>
  <si>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</si>
  <si>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</si>
  <si>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</si>
  <si>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</si>
  <si>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</si>
  <si>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</si>
  <si>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</si>
  <si>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</si>
  <si>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</si>
  <si>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</si>
  <si>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</si>
  <si>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</si>
  <si>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</si>
  <si>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</si>
  <si>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</si>
  <si>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</si>
  <si>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</si>
  <si>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</si>
  <si>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</si>
  <si>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</si>
  <si>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</si>
  <si>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</si>
  <si>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</si>
  <si>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</si>
  <si>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</si>
  <si>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</si>
  <si>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</si>
  <si>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</si>
  <si>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</si>
  <si>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</si>
  <si>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</si>
  <si>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</si>
  <si>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</si>
  <si>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</si>
  <si>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</si>
  <si>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</si>
  <si>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</si>
  <si>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</si>
  <si>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</si>
  <si>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</si>
  <si>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</si>
  <si>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</si>
  <si>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</si>
  <si>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</si>
  <si>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</si>
  <si>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</si>
  <si>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</si>
  <si>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</si>
  <si>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</si>
  <si>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</si>
  <si>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</si>
  <si>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</si>
  <si>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</si>
  <si>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</si>
  <si>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</si>
  <si>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</si>
  <si>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</si>
  <si>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</si>
  <si>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</si>
  <si>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</si>
  <si>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</si>
  <si>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</si>
  <si>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</si>
  <si>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</si>
  <si>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</si>
  <si>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</si>
  <si>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</si>
  <si>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</si>
  <si>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</si>
  <si>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</si>
  <si>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</si>
  <si>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</si>
  <si>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</si>
  <si>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</si>
  <si>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</si>
  <si>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</si>
  <si>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</si>
  <si>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</si>
  <si>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</si>
  <si>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</si>
  <si>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</si>
  <si>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</si>
  <si>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</si>
  <si>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</si>
  <si>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</si>
  <si>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</si>
  <si>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</si>
  <si>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</si>
  <si>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</si>
  <si>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</si>
  <si>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</si>
  <si>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</si>
  <si>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</si>
  <si>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</si>
  <si>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</si>
  <si>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</si>
  <si>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</si>
  <si>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</si>
  <si>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</si>
  <si>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</si>
  <si>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</si>
  <si>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</si>
  <si>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</si>
  <si>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</si>
  <si>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</si>
  <si>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</si>
  <si>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</si>
  <si>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</si>
  <si>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</si>
  <si>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</si>
  <si>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</si>
  <si>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</si>
  <si>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</si>
  <si>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</si>
  <si>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</si>
  <si>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</si>
  <si>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</si>
  <si>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</si>
  <si>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</si>
  <si>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</si>
  <si>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</si>
  <si>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</si>
  <si>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</si>
  <si>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</si>
  <si>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</si>
  <si>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</si>
  <si>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</si>
  <si>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</si>
  <si>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</si>
  <si>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</si>
  <si>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</si>
  <si>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</si>
  <si>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</si>
  <si>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</si>
  <si>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</si>
  <si>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</si>
  <si>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</si>
  <si>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</si>
  <si>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</si>
  <si>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</si>
  <si>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</si>
  <si>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</si>
  <si>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</si>
  <si>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</si>
  <si>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</si>
  <si>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</si>
  <si>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</si>
  <si>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</si>
  <si>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</si>
  <si>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</si>
  <si>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</si>
  <si>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</si>
  <si>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</si>
  <si>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</si>
  <si>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</si>
  <si>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</si>
  <si>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</si>
  <si>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</si>
  <si>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</si>
  <si>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</si>
  <si>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</si>
  <si>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</si>
  <si>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</si>
  <si>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</si>
  <si>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</si>
  <si>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</si>
  <si>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</si>
  <si>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</si>
  <si>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</si>
  <si>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</si>
  <si>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</si>
  <si>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</si>
  <si>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</si>
  <si>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</si>
  <si>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</si>
  <si>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</si>
  <si>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</si>
  <si>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</si>
  <si>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</si>
  <si>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</si>
  <si>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</si>
  <si>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</si>
  <si>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</si>
  <si>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</si>
  <si>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</si>
  <si>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</si>
  <si>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</si>
  <si>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</si>
  <si>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</si>
  <si>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</si>
  <si>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</si>
  <si>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</si>
  <si>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</si>
  <si>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</si>
  <si>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</si>
  <si>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</si>
  <si>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</si>
  <si>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</si>
  <si>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</si>
  <si>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</si>
  <si>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</si>
  <si>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</si>
  <si>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</si>
  <si>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</si>
  <si>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</si>
  <si>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</si>
  <si>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</si>
  <si>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</si>
  <si>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</si>
  <si>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</si>
  <si>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</si>
  <si>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</si>
  <si>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</si>
  <si>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</si>
  <si>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</si>
  <si>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</si>
  <si>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</si>
  <si>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</si>
  <si>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</si>
  <si>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</si>
  <si>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</si>
  <si>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</si>
  <si>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</si>
  <si>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</si>
  <si>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</si>
  <si>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</si>
  <si>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</si>
  <si>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</si>
  <si>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</si>
  <si>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</si>
  <si>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</si>
  <si>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</si>
  <si>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</si>
  <si>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</si>
  <si>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</si>
  <si>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</si>
  <si>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</si>
  <si>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</si>
  <si>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</si>
  <si>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</si>
  <si>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</si>
  <si>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</si>
  <si>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</si>
  <si>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</si>
  <si>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</si>
  <si>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</si>
  <si>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</si>
  <si>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</si>
  <si>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</si>
  <si>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</si>
  <si>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</si>
  <si>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</si>
  <si>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</si>
  <si>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</si>
  <si>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</si>
  <si>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</si>
  <si>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</si>
  <si>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</si>
  <si>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</si>
  <si>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</si>
  <si>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</si>
  <si>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</si>
  <si>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</si>
  <si>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</si>
  <si>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</si>
  <si>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</si>
  <si>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</si>
  <si>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</si>
  <si>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</si>
  <si>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</si>
  <si>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</si>
  <si>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</si>
  <si>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</si>
  <si>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</si>
  <si>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</si>
  <si>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</si>
  <si>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</si>
  <si>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</si>
  <si>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</si>
  <si>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</si>
  <si>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</si>
  <si>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</si>
  <si>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</si>
  <si>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</si>
  <si>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</si>
  <si>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</si>
  <si>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</si>
  <si>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</si>
  <si>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</si>
  <si>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</si>
  <si>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</si>
  <si>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</si>
  <si>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</si>
  <si>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</si>
  <si>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</si>
  <si>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</si>
  <si>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</si>
  <si>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</si>
  <si>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</si>
  <si>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</si>
  <si>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</si>
  <si>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</si>
  <si>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</si>
  <si>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</si>
  <si>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</si>
  <si>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</si>
  <si>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</si>
  <si>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</si>
  <si>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</si>
  <si>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</si>
  <si>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</si>
  <si>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</si>
  <si>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</si>
  <si>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</si>
  <si>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</si>
  <si>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</si>
  <si>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</si>
  <si>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</si>
  <si>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</si>
  <si>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</si>
  <si>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</si>
  <si>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</si>
  <si>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</si>
  <si>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</si>
  <si>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</si>
  <si>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</si>
  <si>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</si>
  <si>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</si>
  <si>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</si>
  <si>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</si>
  <si>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</si>
  <si>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</si>
  <si>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</si>
  <si>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</si>
  <si>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Dona, Max, Roberta</t>
  </si>
  <si>
    <t>cleanings</t>
  </si>
  <si>
    <t>surface resin composite</t>
  </si>
  <si>
    <t>x78.8</t>
  </si>
  <si>
    <t>Forgot to mail 12/31/15. Sent in 2/14 payment</t>
  </si>
  <si>
    <t>Costco</t>
  </si>
  <si>
    <t>rx</t>
  </si>
  <si>
    <t>Rx - roberta</t>
  </si>
  <si>
    <t>direct</t>
  </si>
  <si>
    <t>Walgreens</t>
  </si>
  <si>
    <t>Rx - ?</t>
  </si>
  <si>
    <t>New Leaves Clinic</t>
  </si>
  <si>
    <t>colonoscopy prep</t>
  </si>
  <si>
    <t>1/21+1/25+2/17/16</t>
  </si>
  <si>
    <t>Knee physical therapy eval, exercizes</t>
  </si>
  <si>
    <t>343495A1487</t>
  </si>
  <si>
    <t>need to call office to use card</t>
  </si>
  <si>
    <t>11/11/15+11/18+11/25+12/2+12/9+12/16+12/23/15</t>
  </si>
  <si>
    <t>weekly shots</t>
  </si>
  <si>
    <t>pending insurance:</t>
  </si>
  <si>
    <t>2/3+2/17/16</t>
  </si>
  <si>
    <t>Follow up</t>
  </si>
  <si>
    <t>included change of address</t>
  </si>
  <si>
    <t>Jeremy Lake MD</t>
  </si>
  <si>
    <t>2/11+3/4/16</t>
  </si>
  <si>
    <t>Diagnostic colonoscopy with pre-visit</t>
  </si>
  <si>
    <t>1/29+2/4+2/8</t>
  </si>
  <si>
    <t>Knee physical therapy &amp; exercises</t>
  </si>
  <si>
    <t>Blood work</t>
  </si>
  <si>
    <t>WCC-16-01185</t>
  </si>
  <si>
    <t>n/a</t>
  </si>
  <si>
    <t>Geneva Health Center appears to have closed May 2016</t>
  </si>
  <si>
    <t>ROBWA002</t>
  </si>
  <si>
    <t>Shows as "Claim not found, rebilled".  I recall a Walter appt last winter</t>
  </si>
  <si>
    <t>Dona, Roberta</t>
  </si>
  <si>
    <t>before 7/28/16</t>
  </si>
  <si>
    <t xml:space="preserve">HSA </t>
  </si>
  <si>
    <t>before 7/16</t>
  </si>
  <si>
    <t>3 month checkup</t>
  </si>
  <si>
    <t>over phone</t>
  </si>
  <si>
    <t>paid in office</t>
  </si>
  <si>
    <t>by phone</t>
  </si>
  <si>
    <t>paid by phone</t>
  </si>
  <si>
    <t>9/30/15+10/21+10/28+11/4+11/11+11/18/15</t>
  </si>
  <si>
    <t>weekly shots (overlap)</t>
  </si>
  <si>
    <t>For our prescription plan, we pay full price until our full deductible has been met, then it is 10% (?)</t>
  </si>
  <si>
    <t>For Roberta's Symbicort inhaler - it was ~$235 per month from Walgreens.    Now 729 for 3 months from Express Scripts at start of year.  Then drops to $20+ / mo after</t>
  </si>
  <si>
    <t>11/21/16+12/19/16+1/5/17</t>
  </si>
  <si>
    <t>3 sessions to freeze plantar warts on left foot</t>
  </si>
  <si>
    <t>cleaning &amp; fluoride</t>
  </si>
  <si>
    <t>4th bill</t>
  </si>
  <si>
    <t>Medical Imaging of Hillsboro -- Pacific Coast Credit</t>
  </si>
  <si>
    <t>Received call 3/21/17 from Rachel Grant at Pacific Coast Credit regarding bill from Tuality hospital</t>
  </si>
  <si>
    <t>Resin composit, Amal</t>
  </si>
  <si>
    <t>11/17/2016 &amp; 11/22/16</t>
  </si>
  <si>
    <t>Amal, Crown, etc</t>
  </si>
  <si>
    <t>Why did it include duplicate cost 11/17  Resn tooth 12 $285 from prev?</t>
  </si>
  <si>
    <t>1/27+1/31/17+2/3</t>
  </si>
  <si>
    <t>Dona,Max,Walter,Roberta</t>
  </si>
  <si>
    <t>Cleaning, Xrays, eval</t>
  </si>
  <si>
    <t>mail or person?</t>
  </si>
  <si>
    <t>HSA#181</t>
  </si>
  <si>
    <t>pd later</t>
  </si>
  <si>
    <t>on HSA181</t>
  </si>
  <si>
    <t>11/4+11/14+11/25+12/5+12/16+12/27/16</t>
  </si>
  <si>
    <t>HSA#182</t>
  </si>
  <si>
    <t>10 day shots</t>
  </si>
  <si>
    <t>not sure status -- did I pay it already?</t>
  </si>
  <si>
    <t>2/17 overlap+3/2+3/15 +3/28+4/8+4/18+4/29 +5/13+5/23+6/3+6/13 +6/20+7/1+7/11+7/22 +8/1+8/12+8/22+9/2 +9/12+9/23+10/3 +10/14+10/24</t>
  </si>
  <si>
    <t>Markus,Dona</t>
  </si>
  <si>
    <t>1/25+1/27/2017</t>
  </si>
  <si>
    <t>D:xray/cleaning, M:broken tooth</t>
  </si>
  <si>
    <t>HSA#184</t>
  </si>
  <si>
    <t>Rx renewals/checkup</t>
  </si>
  <si>
    <t>12/9/2016+1/2/16</t>
  </si>
  <si>
    <t>4/6/17 summary from Med Img</t>
  </si>
  <si>
    <t>Check HSA checkbook - I think I paid this ~4/1/17</t>
  </si>
  <si>
    <t>4/4+4/13+4/27/17</t>
  </si>
  <si>
    <t>Tooth 20, cleaning, resin27, Amal surf tooth29,31,32</t>
  </si>
  <si>
    <t>12/27/16+1/6/17+1/16+1/27+2/6+2/17+2/27+3/10+3/20+3/31/17</t>
  </si>
  <si>
    <t>HSA#188</t>
  </si>
  <si>
    <t>HSA#187</t>
  </si>
  <si>
    <t>Refills</t>
  </si>
  <si>
    <t>shots, sinus/ear infection?</t>
  </si>
  <si>
    <t>3/31+4/10+4/21+5/1+5/12+5/19/17. Pending 5/23/17</t>
  </si>
  <si>
    <t>HSA#190</t>
  </si>
  <si>
    <t>HSA#189</t>
  </si>
  <si>
    <t>Richardson Eye Clinic</t>
  </si>
  <si>
    <t>new eye glasses</t>
  </si>
  <si>
    <t>DQMW</t>
  </si>
  <si>
    <t>8/15+8/17</t>
  </si>
  <si>
    <t>Kids cleanings, Markus tooth20 film</t>
  </si>
  <si>
    <t>HSA #191</t>
  </si>
  <si>
    <t>5/23+6/9+6/19+7/3+7/17+7/31exc 8/14</t>
  </si>
  <si>
    <t>shots</t>
  </si>
  <si>
    <t>HSA #193</t>
  </si>
  <si>
    <t>likely overlap with 9/24 payment</t>
  </si>
  <si>
    <t>HSA #192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</si>
</sst>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sz val="10"/>
      <color rgb="FFFF0000"/>
      <name val="Arial"/>
      <family val="2"/>
    </font>
    <font>
      <sz val="10"/>
      <color rgb="FF4B4942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DFEFF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57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2" fontId="1" fillId="0" borderId="0" xfId="0" applyNumberFormat="1" applyFont="1" applyAlignment="1">
      <alignment vertical="top"/>
    </xf>
    <xf numFmtId="4" fontId="11" fillId="0" borderId="0" xfId="0" applyNumberFormat="1" applyFont="1" applyAlignment="1">
      <alignment vertical="top"/>
    </xf>
    <xf numFmtId="0" fontId="1" fillId="11" borderId="0" xfId="0" applyFont="1" applyFill="1" applyAlignment="1">
      <alignment vertical="top" wrapText="1"/>
    </xf>
    <xf numFmtId="0" fontId="1" fillId="11" borderId="0" xfId="0" applyFont="1" applyFill="1" applyAlignment="1">
      <alignment vertical="top"/>
    </xf>
    <xf numFmtId="0" fontId="1" fillId="11" borderId="0" xfId="0" applyNumberFormat="1" applyFont="1" applyFill="1" applyAlignment="1">
      <alignment vertical="top"/>
    </xf>
    <xf numFmtId="2" fontId="0" fillId="11" borderId="0" xfId="0" applyNumberFormat="1" applyFill="1" applyAlignment="1">
      <alignment vertical="top"/>
    </xf>
    <xf numFmtId="14" fontId="0" fillId="11" borderId="0" xfId="0" applyNumberFormat="1" applyFill="1" applyAlignment="1">
      <alignment horizontal="left" vertical="top"/>
    </xf>
    <xf numFmtId="0" fontId="0" fillId="11" borderId="0" xfId="0" applyFill="1" applyAlignment="1">
      <alignment vertical="top"/>
    </xf>
    <xf numFmtId="0" fontId="0" fillId="11" borderId="0" xfId="0" applyFill="1" applyAlignment="1">
      <alignment vertical="top" wrapText="1"/>
    </xf>
    <xf numFmtId="0" fontId="12" fillId="15" borderId="10" xfId="0" applyFont="1" applyFill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vertical="top"/>
    </xf>
    <xf numFmtId="14" fontId="1" fillId="0" borderId="0" xfId="0" applyNumberFormat="1" applyFont="1" applyFill="1" applyAlignment="1">
      <alignment horizontal="left" vertical="top"/>
    </xf>
    <xf numFmtId="14" fontId="1" fillId="11" borderId="0" xfId="0" applyNumberFormat="1" applyFont="1" applyFill="1" applyAlignment="1">
      <alignment vertical="top"/>
    </xf>
    <xf numFmtId="14" fontId="1" fillId="11" borderId="0" xfId="0" applyNumberFormat="1" applyFont="1" applyFill="1" applyAlignment="1">
      <alignment horizontal="left" vertical="top"/>
    </xf>
    <xf numFmtId="14" fontId="0" fillId="0" borderId="0" xfId="0" applyNumberFormat="1" applyFill="1" applyAlignment="1">
      <alignment vertical="top" wrapText="1"/>
    </xf>
    <xf numFmtId="0" fontId="0" fillId="11" borderId="0" xfId="0" applyNumberFormat="1" applyFill="1" applyAlignment="1">
      <alignment vertical="top"/>
    </xf>
    <xf numFmtId="14" fontId="1" fillId="0" borderId="0" xfId="0" applyNumberFormat="1" applyFont="1" applyAlignment="1">
      <alignment horizontal="center" vertical="top" wrapText="1"/>
    </xf>
    <xf numFmtId="14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1" fillId="0" borderId="0" xfId="0" quotePrefix="1" applyFont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T236"/>
  <sheetViews>
    <sheetView tabSelected="1" zoomScale="130" zoomScaleNormal="130" workbookViewId="0">
      <pane xSplit="6" ySplit="5" topLeftCell="J222" activePane="bottomRight" state="frozen"/>
      <selection activeCell="C57" sqref="C57"/>
      <selection pane="topRight" activeCell="C57" sqref="C57"/>
      <selection pane="bottomLeft" activeCell="C57" sqref="C57"/>
      <selection pane="bottomRight" activeCell="C227" sqref="C227"/>
    </sheetView>
  </sheetViews>
  <sheetFormatPr defaultColWidth="9.140625" defaultRowHeight="12.75" outlineLevelCol="1" x14ac:dyDescent="0.2"/>
  <cols>
    <col min="1" max="1" width="20" style="9" bestFit="1" customWidth="1"/>
    <col min="2" max="2" width="7.42578125" style="10" bestFit="1" customWidth="1"/>
    <col min="3" max="3" width="20.42578125" style="10" customWidth="1" outlineLevel="1"/>
    <col min="4" max="4" width="22.5703125" style="9" customWidth="1" outlineLevel="1"/>
    <col min="5" max="5" width="10.140625" style="9" customWidth="1" outlineLevel="1"/>
    <col min="6" max="6" width="15.7109375" style="11" customWidth="1" outlineLevel="1" collapsed="1"/>
    <col min="7" max="7" width="9.140625" style="12" bestFit="1"/>
    <col min="8" max="8" width="11.42578125" style="12" bestFit="1" customWidth="1"/>
    <col min="9" max="9" width="10" style="12" bestFit="1" customWidth="1"/>
    <col min="10" max="10" width="11.42578125" style="12" customWidth="1"/>
    <col min="11" max="11" width="9.28515625" style="12" bestFit="1" customWidth="1"/>
    <col min="12" max="12" width="8.5703125" style="12" bestFit="1" customWidth="1"/>
    <col min="13" max="13" width="7.85546875" style="38" customWidth="1"/>
    <col min="14" max="14" width="9.85546875" style="12" customWidth="1"/>
    <col min="15" max="15" width="10.140625" style="13" bestFit="1" customWidth="1"/>
    <col min="16" max="16" width="14.140625" style="13" bestFit="1" customWidth="1"/>
    <col min="17" max="17" width="10.85546875" style="63" customWidth="1"/>
    <col min="18" max="18" width="7.140625" style="10" customWidth="1"/>
    <col min="19" max="19" width="9.85546875" style="10" customWidth="1"/>
    <col min="20" max="20" width="52.140625" style="9" customWidth="1"/>
    <col min="21" max="16384" width="9.140625" style="10"/>
  </cols>
  <sheetData>
    <row r="1" spans="1:20" x14ac:dyDescent="0.2">
      <c r="A1" s="53" t="s">
        <v>0</v>
      </c>
    </row>
    <row r="5" spans="1:20" ht="25.5" x14ac:dyDescent="0.2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1" x14ac:dyDescent="0.2">
      <c r="A6" s="9" t="s">
        <v>234</v>
      </c>
      <c r="B6" s="9" t="s">
        <v>33</v>
      </c>
      <c r="C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x14ac:dyDescent="0.2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x14ac:dyDescent="0.2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x14ac:dyDescent="0.2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x14ac:dyDescent="0.2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x14ac:dyDescent="0.2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x14ac:dyDescent="0.2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x14ac:dyDescent="0.2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x14ac:dyDescent="0.2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x14ac:dyDescent="0.2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x14ac:dyDescent="0.2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x14ac:dyDescent="0.2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5.5" x14ac:dyDescent="0.2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5.5" x14ac:dyDescent="0.2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x14ac:dyDescent="0.2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x14ac:dyDescent="0.2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5.5" x14ac:dyDescent="0.2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5.5" x14ac:dyDescent="0.2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5.5" x14ac:dyDescent="0.2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5.5" x14ac:dyDescent="0.2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5.5" x14ac:dyDescent="0.2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5.5" x14ac:dyDescent="0.2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5.5" x14ac:dyDescent="0.2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ht="25.5" x14ac:dyDescent="0.2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x14ac:dyDescent="0.2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x14ac:dyDescent="0.2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5.5" x14ac:dyDescent="0.2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x14ac:dyDescent="0.2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3.75" x14ac:dyDescent="0.2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5.5" x14ac:dyDescent="0.2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5.5" x14ac:dyDescent="0.2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5.5" x14ac:dyDescent="0.2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5.5" x14ac:dyDescent="0.2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5.5" x14ac:dyDescent="0.2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5.5" x14ac:dyDescent="0.2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5.5" x14ac:dyDescent="0.2">
      <c r="A41" s="9" t="s">
        <v>133</v>
      </c>
      <c r="B41" s="10" t="s">
        <v>33</v>
      </c>
      <c r="E41" s="10"/>
      <c r="Q41" s="13"/>
    </row>
    <row r="42" spans="1:20" ht="25.5" x14ac:dyDescent="0.2">
      <c r="A42" s="9" t="s">
        <v>133</v>
      </c>
      <c r="B42" s="10" t="s">
        <v>35</v>
      </c>
      <c r="E42" s="10"/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5.5" x14ac:dyDescent="0.2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5.5" x14ac:dyDescent="0.2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x14ac:dyDescent="0.2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x14ac:dyDescent="0.2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x14ac:dyDescent="0.2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5.5" x14ac:dyDescent="0.2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5.5" x14ac:dyDescent="0.2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x14ac:dyDescent="0.2">
      <c r="A50" s="9" t="s">
        <v>163</v>
      </c>
      <c r="B50" s="10" t="s">
        <v>33</v>
      </c>
      <c r="C50" s="13">
        <v>39675</v>
      </c>
      <c r="D50" s="9" t="s">
        <v>164</v>
      </c>
      <c r="E50" s="16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5.5" x14ac:dyDescent="0.2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x14ac:dyDescent="0.2">
      <c r="A52" s="9" t="s">
        <v>163</v>
      </c>
      <c r="B52" s="10" t="s">
        <v>33</v>
      </c>
      <c r="C52" s="13">
        <v>39708</v>
      </c>
      <c r="D52" s="9" t="s">
        <v>148</v>
      </c>
      <c r="E52" s="16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x14ac:dyDescent="0.2">
      <c r="A53" s="9" t="s">
        <v>163</v>
      </c>
      <c r="B53" s="10" t="s">
        <v>33</v>
      </c>
      <c r="C53" s="13">
        <v>39710</v>
      </c>
      <c r="D53" s="9" t="s">
        <v>165</v>
      </c>
      <c r="E53" s="16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5.5" x14ac:dyDescent="0.2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x14ac:dyDescent="0.2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x14ac:dyDescent="0.2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5.5" x14ac:dyDescent="0.2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x14ac:dyDescent="0.2">
      <c r="A58" s="9" t="s">
        <v>163</v>
      </c>
      <c r="B58" s="10" t="s">
        <v>33</v>
      </c>
      <c r="C58" s="56">
        <v>39871</v>
      </c>
      <c r="D58" s="9" t="s">
        <v>148</v>
      </c>
      <c r="E58" s="16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x14ac:dyDescent="0.2">
      <c r="A59" s="9" t="s">
        <v>163</v>
      </c>
      <c r="B59" s="10" t="s">
        <v>33</v>
      </c>
      <c r="C59" s="13">
        <v>39892</v>
      </c>
      <c r="D59" s="9" t="s">
        <v>242</v>
      </c>
      <c r="E59" s="16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x14ac:dyDescent="0.2">
      <c r="A60" s="9" t="s">
        <v>163</v>
      </c>
      <c r="B60" s="10" t="s">
        <v>33</v>
      </c>
      <c r="C60" s="13">
        <v>39948</v>
      </c>
      <c r="D60" s="9" t="s">
        <v>148</v>
      </c>
      <c r="E60" s="16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8.25" x14ac:dyDescent="0.2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x14ac:dyDescent="0.2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x14ac:dyDescent="0.2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5.5" x14ac:dyDescent="0.2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5.5" x14ac:dyDescent="0.2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5.5" x14ac:dyDescent="0.2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5.5" x14ac:dyDescent="0.2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5.5" x14ac:dyDescent="0.2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x14ac:dyDescent="0.2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48">
        <v>117.9</v>
      </c>
      <c r="O69" s="131">
        <v>40205</v>
      </c>
      <c r="P69" s="131" t="s">
        <v>24</v>
      </c>
      <c r="Q69" s="131" t="s">
        <v>285</v>
      </c>
    </row>
    <row r="70" spans="1:20" x14ac:dyDescent="0.2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49"/>
      <c r="O70" s="131"/>
      <c r="P70" s="131"/>
      <c r="Q70" s="131"/>
    </row>
    <row r="71" spans="1:20" x14ac:dyDescent="0.2">
      <c r="A71" s="9" t="s">
        <v>287</v>
      </c>
      <c r="B71" s="10" t="s">
        <v>284</v>
      </c>
      <c r="C71" s="13">
        <v>40130</v>
      </c>
      <c r="D71" s="9" t="s">
        <v>296</v>
      </c>
      <c r="E71" s="10"/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50"/>
      <c r="O71" s="131"/>
      <c r="P71" s="131"/>
      <c r="Q71" s="131"/>
    </row>
    <row r="72" spans="1:20" ht="51" x14ac:dyDescent="0.2">
      <c r="A72" s="21" t="s">
        <v>163</v>
      </c>
      <c r="B72" s="22" t="s">
        <v>35</v>
      </c>
      <c r="C72" s="23">
        <v>40105</v>
      </c>
      <c r="D72" s="21" t="s">
        <v>322</v>
      </c>
      <c r="E72" s="128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5.5" x14ac:dyDescent="0.2">
      <c r="A73" s="9" t="s">
        <v>163</v>
      </c>
      <c r="B73" s="10" t="s">
        <v>33</v>
      </c>
      <c r="C73" s="13">
        <v>40123</v>
      </c>
      <c r="D73" s="9" t="s">
        <v>301</v>
      </c>
      <c r="E73" s="16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5.5" x14ac:dyDescent="0.2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x14ac:dyDescent="0.2">
      <c r="A75" s="9" t="s">
        <v>163</v>
      </c>
      <c r="B75" s="10" t="s">
        <v>33</v>
      </c>
      <c r="C75" s="13">
        <v>40165</v>
      </c>
      <c r="D75" s="9" t="s">
        <v>300</v>
      </c>
      <c r="E75" s="16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x14ac:dyDescent="0.2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33">
        <v>179.4</v>
      </c>
      <c r="O76" s="151">
        <v>40273</v>
      </c>
      <c r="P76" s="142" t="s">
        <v>24</v>
      </c>
      <c r="Q76" s="142" t="s">
        <v>285</v>
      </c>
    </row>
    <row r="77" spans="1:20" x14ac:dyDescent="0.2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34"/>
      <c r="O77" s="152"/>
      <c r="P77" s="143"/>
      <c r="Q77" s="143"/>
    </row>
    <row r="78" spans="1:20" x14ac:dyDescent="0.2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34"/>
      <c r="O78" s="152"/>
      <c r="P78" s="143"/>
      <c r="Q78" s="143"/>
    </row>
    <row r="79" spans="1:20" x14ac:dyDescent="0.2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35"/>
      <c r="O79" s="153"/>
      <c r="P79" s="144"/>
      <c r="Q79" s="144"/>
    </row>
    <row r="80" spans="1:20" x14ac:dyDescent="0.2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5.5" x14ac:dyDescent="0.2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x14ac:dyDescent="0.2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x14ac:dyDescent="0.2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x14ac:dyDescent="0.2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x14ac:dyDescent="0.2">
      <c r="A85" s="9" t="s">
        <v>163</v>
      </c>
      <c r="B85" s="10" t="s">
        <v>33</v>
      </c>
      <c r="C85" s="13">
        <v>40204</v>
      </c>
      <c r="D85" s="9" t="s">
        <v>317</v>
      </c>
      <c r="E85" s="16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45" t="s">
        <v>323</v>
      </c>
      <c r="R85" s="10" t="s">
        <v>14</v>
      </c>
      <c r="T85" s="9" t="s">
        <v>329</v>
      </c>
    </row>
    <row r="86" spans="1:20" x14ac:dyDescent="0.2">
      <c r="A86" s="9" t="s">
        <v>163</v>
      </c>
      <c r="B86" s="10" t="s">
        <v>33</v>
      </c>
      <c r="C86" s="13">
        <v>40212</v>
      </c>
      <c r="D86" s="9" t="s">
        <v>318</v>
      </c>
      <c r="E86" s="16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46"/>
      <c r="R86" s="10" t="s">
        <v>14</v>
      </c>
    </row>
    <row r="87" spans="1:20" x14ac:dyDescent="0.2">
      <c r="A87" s="9" t="s">
        <v>163</v>
      </c>
      <c r="B87" s="10" t="s">
        <v>33</v>
      </c>
      <c r="C87" s="13">
        <v>40283</v>
      </c>
      <c r="D87" s="9" t="s">
        <v>319</v>
      </c>
      <c r="E87" s="16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47"/>
      <c r="R87" s="10" t="s">
        <v>14</v>
      </c>
    </row>
    <row r="88" spans="1:20" x14ac:dyDescent="0.2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x14ac:dyDescent="0.2">
      <c r="A89" s="9" t="s">
        <v>163</v>
      </c>
      <c r="B89" s="10" t="s">
        <v>33</v>
      </c>
      <c r="C89" s="13">
        <v>40388</v>
      </c>
      <c r="D89" s="9" t="s">
        <v>328</v>
      </c>
      <c r="E89" s="16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x14ac:dyDescent="0.2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5.5" x14ac:dyDescent="0.2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x14ac:dyDescent="0.2">
      <c r="A92" s="68" t="s">
        <v>163</v>
      </c>
      <c r="B92" s="69" t="s">
        <v>33</v>
      </c>
      <c r="C92" s="13">
        <v>40469</v>
      </c>
      <c r="D92" s="68" t="s">
        <v>328</v>
      </c>
      <c r="E92" s="16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x14ac:dyDescent="0.2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33">
        <v>40.700000000000003</v>
      </c>
      <c r="O93" s="142">
        <v>40517</v>
      </c>
      <c r="P93" s="133" t="s">
        <v>24</v>
      </c>
      <c r="Q93" s="133" t="s">
        <v>339</v>
      </c>
      <c r="R93" s="69" t="s">
        <v>14</v>
      </c>
      <c r="S93" s="69"/>
    </row>
    <row r="94" spans="1:20" x14ac:dyDescent="0.2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34"/>
      <c r="O94" s="143"/>
      <c r="P94" s="134"/>
      <c r="Q94" s="134"/>
      <c r="R94" s="69" t="s">
        <v>14</v>
      </c>
      <c r="S94" s="69"/>
    </row>
    <row r="95" spans="1:20" x14ac:dyDescent="0.2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35"/>
      <c r="O95" s="144"/>
      <c r="P95" s="135"/>
      <c r="Q95" s="135"/>
      <c r="R95" s="69" t="s">
        <v>14</v>
      </c>
      <c r="S95" s="69"/>
    </row>
    <row r="96" spans="1:20" x14ac:dyDescent="0.2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x14ac:dyDescent="0.2">
      <c r="A97" s="9" t="s">
        <v>163</v>
      </c>
      <c r="B97" s="10" t="s">
        <v>33</v>
      </c>
      <c r="C97" s="13">
        <v>40557</v>
      </c>
      <c r="D97" s="9" t="s">
        <v>328</v>
      </c>
      <c r="E97" s="16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5.5" x14ac:dyDescent="0.2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3.75" x14ac:dyDescent="0.2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x14ac:dyDescent="0.2">
      <c r="A100" s="9" t="s">
        <v>163</v>
      </c>
      <c r="B100" s="10" t="s">
        <v>33</v>
      </c>
      <c r="C100" s="10" t="s">
        <v>354</v>
      </c>
      <c r="D100" s="9" t="s">
        <v>355</v>
      </c>
      <c r="E100" s="16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x14ac:dyDescent="0.2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33">
        <v>63.6</v>
      </c>
      <c r="O101" s="13">
        <v>40790</v>
      </c>
      <c r="P101" s="133" t="s">
        <v>24</v>
      </c>
      <c r="Q101" s="133" t="s">
        <v>360</v>
      </c>
      <c r="R101" s="10" t="s">
        <v>14</v>
      </c>
    </row>
    <row r="102" spans="1:19" x14ac:dyDescent="0.2">
      <c r="A102" s="9" t="s">
        <v>287</v>
      </c>
      <c r="B102" s="10" t="s">
        <v>63</v>
      </c>
      <c r="C102" s="13">
        <v>40704</v>
      </c>
      <c r="D102" s="9" t="s">
        <v>357</v>
      </c>
      <c r="E102" s="10"/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34"/>
      <c r="P102" s="134"/>
      <c r="Q102" s="134"/>
      <c r="R102" s="10" t="s">
        <v>14</v>
      </c>
    </row>
    <row r="103" spans="1:19" x14ac:dyDescent="0.2">
      <c r="A103" s="9" t="s">
        <v>287</v>
      </c>
      <c r="B103" s="10" t="s">
        <v>284</v>
      </c>
      <c r="C103" s="13">
        <v>40704</v>
      </c>
      <c r="D103" s="9" t="s">
        <v>358</v>
      </c>
      <c r="E103" s="10"/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35"/>
      <c r="P103" s="135"/>
      <c r="Q103" s="135"/>
      <c r="R103" s="10" t="s">
        <v>14</v>
      </c>
    </row>
    <row r="104" spans="1:19" x14ac:dyDescent="0.2">
      <c r="A104" s="9" t="s">
        <v>163</v>
      </c>
      <c r="B104" s="10" t="s">
        <v>33</v>
      </c>
      <c r="C104" s="13">
        <v>40725</v>
      </c>
      <c r="D104" s="9" t="s">
        <v>328</v>
      </c>
      <c r="E104" s="16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x14ac:dyDescent="0.2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x14ac:dyDescent="0.2">
      <c r="A106" s="9" t="s">
        <v>363</v>
      </c>
      <c r="B106" s="10" t="s">
        <v>284</v>
      </c>
      <c r="C106" s="9" t="s">
        <v>366</v>
      </c>
      <c r="D106" s="9" t="s">
        <v>364</v>
      </c>
      <c r="E106" s="10"/>
      <c r="G106" s="12">
        <v>565</v>
      </c>
      <c r="K106" s="12">
        <f>11.3+15.31</f>
        <v>26.61</v>
      </c>
      <c r="L106" s="12">
        <f>G106+K106</f>
        <v>591.61</v>
      </c>
      <c r="N106" s="133">
        <v>675.61</v>
      </c>
      <c r="O106" s="13">
        <v>40811</v>
      </c>
      <c r="P106" s="13" t="s">
        <v>385</v>
      </c>
      <c r="R106" s="10" t="s">
        <v>14</v>
      </c>
    </row>
    <row r="107" spans="1:19" x14ac:dyDescent="0.2">
      <c r="A107" s="9" t="s">
        <v>363</v>
      </c>
      <c r="B107" s="10" t="s">
        <v>284</v>
      </c>
      <c r="C107" s="10" t="s">
        <v>369</v>
      </c>
      <c r="D107" s="9" t="s">
        <v>364</v>
      </c>
      <c r="E107" s="10"/>
      <c r="G107" s="12">
        <f>630-105</f>
        <v>525</v>
      </c>
      <c r="J107" s="12">
        <v>441</v>
      </c>
      <c r="L107" s="12">
        <f>G107+-J107+K107</f>
        <v>84</v>
      </c>
      <c r="N107" s="135"/>
      <c r="O107" s="13">
        <v>40811</v>
      </c>
      <c r="P107" s="13" t="s">
        <v>386</v>
      </c>
      <c r="R107" s="10" t="s">
        <v>14</v>
      </c>
    </row>
    <row r="108" spans="1:19" ht="25.5" x14ac:dyDescent="0.2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x14ac:dyDescent="0.2">
      <c r="A109" s="9" t="s">
        <v>388</v>
      </c>
      <c r="B109" s="10" t="s">
        <v>284</v>
      </c>
      <c r="E109" s="10"/>
    </row>
    <row r="110" spans="1:19" x14ac:dyDescent="0.2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5.5" x14ac:dyDescent="0.2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5.5" x14ac:dyDescent="0.2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1.75" thickBot="1" x14ac:dyDescent="0.25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x14ac:dyDescent="0.2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>G114-H114-J114</f>
        <v>15.5</v>
      </c>
      <c r="N114" s="136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x14ac:dyDescent="0.2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>G115-H115-J115</f>
        <v>23.380077369439078</v>
      </c>
      <c r="M115" s="38">
        <f>L114+L115</f>
        <v>38.880077369439078</v>
      </c>
      <c r="N115" s="137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x14ac:dyDescent="0.2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>G116-H116-J116</f>
        <v>32.170986460348161</v>
      </c>
      <c r="M116" s="38">
        <f>M115+L116</f>
        <v>71.051063829787239</v>
      </c>
      <c r="N116" s="137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5" thickBot="1" x14ac:dyDescent="0.25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>G117-H117-J117</f>
        <v>41.148936170212778</v>
      </c>
      <c r="M117" s="38">
        <f>M116+L117</f>
        <v>112.20000000000002</v>
      </c>
      <c r="N117" s="138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5.5" x14ac:dyDescent="0.2">
      <c r="A118" s="9" t="s">
        <v>163</v>
      </c>
      <c r="B118" s="10" t="s">
        <v>33</v>
      </c>
      <c r="C118" s="16" t="s">
        <v>415</v>
      </c>
      <c r="D118" s="9" t="s">
        <v>416</v>
      </c>
      <c r="E118" s="16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>G118-H118-J118</f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x14ac:dyDescent="0.2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x14ac:dyDescent="0.2">
      <c r="A120" s="89" t="s">
        <v>163</v>
      </c>
      <c r="B120" s="90" t="s">
        <v>33</v>
      </c>
      <c r="C120" s="91">
        <v>40889</v>
      </c>
      <c r="D120" s="89" t="s">
        <v>424</v>
      </c>
      <c r="E120" s="16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x14ac:dyDescent="0.2">
      <c r="A121" s="89" t="s">
        <v>163</v>
      </c>
      <c r="B121" s="90" t="s">
        <v>33</v>
      </c>
      <c r="C121" s="90" t="s">
        <v>423</v>
      </c>
      <c r="D121" s="89" t="s">
        <v>425</v>
      </c>
      <c r="E121" s="16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x14ac:dyDescent="0.2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x14ac:dyDescent="0.2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33">
        <v>69.53</v>
      </c>
    </row>
    <row r="124" spans="1:19" x14ac:dyDescent="0.2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34"/>
    </row>
    <row r="125" spans="1:19" x14ac:dyDescent="0.2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34"/>
    </row>
    <row r="126" spans="1:19" x14ac:dyDescent="0.2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34"/>
    </row>
    <row r="127" spans="1:19" x14ac:dyDescent="0.2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35"/>
    </row>
    <row r="128" spans="1:19" x14ac:dyDescent="0.2">
      <c r="A128" s="9" t="s">
        <v>163</v>
      </c>
      <c r="B128" s="10" t="s">
        <v>33</v>
      </c>
      <c r="C128" s="13">
        <v>41047</v>
      </c>
      <c r="D128" s="9" t="s">
        <v>328</v>
      </c>
      <c r="E128" s="16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x14ac:dyDescent="0.2">
      <c r="A129" s="9" t="s">
        <v>163</v>
      </c>
      <c r="B129" s="10" t="s">
        <v>33</v>
      </c>
      <c r="C129" s="13">
        <v>41131</v>
      </c>
      <c r="D129" s="9" t="s">
        <v>328</v>
      </c>
      <c r="E129" s="16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32">
        <v>223.89</v>
      </c>
      <c r="O129" s="131">
        <v>41274</v>
      </c>
      <c r="P129" s="13" t="s">
        <v>24</v>
      </c>
      <c r="Q129" s="63" t="s">
        <v>285</v>
      </c>
      <c r="R129" s="10" t="s">
        <v>14</v>
      </c>
    </row>
    <row r="130" spans="1:20" x14ac:dyDescent="0.2">
      <c r="A130" s="9" t="s">
        <v>163</v>
      </c>
      <c r="B130" s="10" t="s">
        <v>33</v>
      </c>
      <c r="C130" s="13">
        <v>41214</v>
      </c>
      <c r="D130" s="9" t="s">
        <v>429</v>
      </c>
      <c r="E130" s="16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32"/>
      <c r="O130" s="131"/>
      <c r="P130" s="13" t="s">
        <v>24</v>
      </c>
      <c r="Q130" s="63" t="s">
        <v>285</v>
      </c>
      <c r="R130" s="10" t="s">
        <v>14</v>
      </c>
    </row>
    <row r="131" spans="1:20" x14ac:dyDescent="0.2">
      <c r="A131" s="9" t="s">
        <v>163</v>
      </c>
      <c r="B131" s="10" t="s">
        <v>35</v>
      </c>
      <c r="C131" s="13">
        <v>41204</v>
      </c>
      <c r="D131" s="9" t="s">
        <v>340</v>
      </c>
      <c r="E131" s="16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x14ac:dyDescent="0.2">
      <c r="A132" s="9" t="s">
        <v>163</v>
      </c>
      <c r="B132" s="90" t="s">
        <v>35</v>
      </c>
      <c r="C132" s="13">
        <v>41323</v>
      </c>
      <c r="D132" s="89" t="s">
        <v>322</v>
      </c>
      <c r="E132" s="16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x14ac:dyDescent="0.2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x14ac:dyDescent="0.2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x14ac:dyDescent="0.2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x14ac:dyDescent="0.2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39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x14ac:dyDescent="0.2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40"/>
      <c r="O137" s="13">
        <v>41608</v>
      </c>
      <c r="R137" s="90" t="s">
        <v>14</v>
      </c>
      <c r="S137" s="90"/>
      <c r="T137" s="10"/>
    </row>
    <row r="138" spans="1:20" x14ac:dyDescent="0.2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40"/>
      <c r="O138" s="13">
        <v>41608</v>
      </c>
      <c r="R138" s="90" t="s">
        <v>14</v>
      </c>
      <c r="S138" s="90"/>
    </row>
    <row r="139" spans="1:20" x14ac:dyDescent="0.2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40"/>
      <c r="R139" s="90" t="s">
        <v>14</v>
      </c>
      <c r="S139" s="90"/>
    </row>
    <row r="140" spans="1:20" x14ac:dyDescent="0.2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41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5.5" x14ac:dyDescent="0.2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38.25" x14ac:dyDescent="0.2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30" t="s">
        <v>437</v>
      </c>
      <c r="Q142" s="130"/>
      <c r="R142" s="90" t="s">
        <v>14</v>
      </c>
      <c r="S142" s="90" t="s">
        <v>553</v>
      </c>
    </row>
    <row r="143" spans="1:20" x14ac:dyDescent="0.2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x14ac:dyDescent="0.2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x14ac:dyDescent="0.2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x14ac:dyDescent="0.2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x14ac:dyDescent="0.2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x14ac:dyDescent="0.2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5.5" x14ac:dyDescent="0.2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x14ac:dyDescent="0.2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1">G150-I150-J150</f>
        <v>17.800000000000011</v>
      </c>
      <c r="R150" s="90" t="s">
        <v>14</v>
      </c>
      <c r="S150" s="90"/>
    </row>
    <row r="151" spans="1:19" x14ac:dyDescent="0.2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1"/>
        <v>62.900000000000006</v>
      </c>
      <c r="R151" s="90" t="s">
        <v>14</v>
      </c>
      <c r="S151" s="90"/>
    </row>
    <row r="152" spans="1:19" ht="25.5" x14ac:dyDescent="0.2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x14ac:dyDescent="0.2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1"/>
        <v>83.5</v>
      </c>
      <c r="R153" s="90" t="s">
        <v>14</v>
      </c>
      <c r="S153" s="90"/>
    </row>
    <row r="154" spans="1:19" x14ac:dyDescent="0.2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1"/>
        <v>18</v>
      </c>
      <c r="R154" s="90" t="s">
        <v>14</v>
      </c>
      <c r="S154" s="90"/>
    </row>
    <row r="155" spans="1:19" x14ac:dyDescent="0.2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1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x14ac:dyDescent="0.2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1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x14ac:dyDescent="0.2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x14ac:dyDescent="0.2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x14ac:dyDescent="0.2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x14ac:dyDescent="0.2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x14ac:dyDescent="0.2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x14ac:dyDescent="0.2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x14ac:dyDescent="0.2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x14ac:dyDescent="0.2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x14ac:dyDescent="0.2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x14ac:dyDescent="0.2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38.25" x14ac:dyDescent="0.2">
      <c r="A167" s="89" t="s">
        <v>163</v>
      </c>
      <c r="B167" s="90" t="s">
        <v>35</v>
      </c>
      <c r="C167" s="89" t="s">
        <v>460</v>
      </c>
      <c r="D167" s="89" t="s">
        <v>461</v>
      </c>
      <c r="E167" s="16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5.5" x14ac:dyDescent="0.2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51" x14ac:dyDescent="0.2">
      <c r="A169" s="9" t="s">
        <v>175</v>
      </c>
      <c r="B169" s="10" t="s">
        <v>465</v>
      </c>
      <c r="C169" s="10" t="s">
        <v>466</v>
      </c>
      <c r="D169" s="9" t="s">
        <v>467</v>
      </c>
      <c r="E169" s="10"/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8.25" x14ac:dyDescent="0.2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5.5" x14ac:dyDescent="0.2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x14ac:dyDescent="0.2">
      <c r="A172" s="9" t="s">
        <v>163</v>
      </c>
      <c r="B172" s="10" t="s">
        <v>35</v>
      </c>
      <c r="C172" s="106" t="s">
        <v>473</v>
      </c>
      <c r="E172" s="16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x14ac:dyDescent="0.2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5.5" x14ac:dyDescent="0.2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x14ac:dyDescent="0.2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5.5" x14ac:dyDescent="0.2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5.5" x14ac:dyDescent="0.2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5.5" x14ac:dyDescent="0.2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8.25" x14ac:dyDescent="0.2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x14ac:dyDescent="0.2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5.5" x14ac:dyDescent="0.2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5.5" x14ac:dyDescent="0.2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5.5" x14ac:dyDescent="0.2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x14ac:dyDescent="0.2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5.5" x14ac:dyDescent="0.2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5.5" x14ac:dyDescent="0.2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8.25" x14ac:dyDescent="0.2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5.5" x14ac:dyDescent="0.2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8.25" x14ac:dyDescent="0.2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x14ac:dyDescent="0.2">
      <c r="A190" s="9" t="s">
        <v>163</v>
      </c>
      <c r="B190" s="10" t="s">
        <v>33</v>
      </c>
      <c r="C190" s="13">
        <v>42249</v>
      </c>
      <c r="D190" s="9" t="s">
        <v>497</v>
      </c>
      <c r="E190" s="16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ht="38.25" x14ac:dyDescent="0.2">
      <c r="A191" s="9" t="s">
        <v>163</v>
      </c>
      <c r="B191" s="10" t="s">
        <v>35</v>
      </c>
      <c r="C191" s="9" t="s">
        <v>517</v>
      </c>
      <c r="D191" s="9" t="s">
        <v>541</v>
      </c>
      <c r="E191" s="16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1" x14ac:dyDescent="0.2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1">
        <v>42328</v>
      </c>
    </row>
    <row r="193" spans="1:20" ht="51" x14ac:dyDescent="0.2">
      <c r="A193" s="9" t="s">
        <v>287</v>
      </c>
      <c r="B193" s="9" t="s">
        <v>523</v>
      </c>
      <c r="C193" s="13">
        <v>42359</v>
      </c>
      <c r="D193" s="9" t="s">
        <v>524</v>
      </c>
      <c r="E193" s="13">
        <v>42361</v>
      </c>
      <c r="F193" s="11">
        <v>5080</v>
      </c>
      <c r="G193" s="12">
        <v>788</v>
      </c>
      <c r="J193" s="12">
        <v>709.2</v>
      </c>
      <c r="L193" s="12">
        <v>78.8</v>
      </c>
      <c r="N193" s="12" t="s">
        <v>526</v>
      </c>
      <c r="O193" s="13">
        <v>42414</v>
      </c>
      <c r="P193" s="16" t="s">
        <v>527</v>
      </c>
      <c r="Q193" s="63" t="s">
        <v>285</v>
      </c>
      <c r="R193" s="10" t="s">
        <v>14</v>
      </c>
      <c r="S193" s="90" t="s">
        <v>553</v>
      </c>
    </row>
    <row r="194" spans="1:20" x14ac:dyDescent="0.2">
      <c r="A194" s="9" t="s">
        <v>287</v>
      </c>
      <c r="B194" s="10" t="s">
        <v>33</v>
      </c>
      <c r="C194" s="13">
        <v>42382</v>
      </c>
      <c r="D194" s="9" t="s">
        <v>525</v>
      </c>
      <c r="E194" s="13">
        <v>42397</v>
      </c>
      <c r="F194" s="11">
        <v>5080</v>
      </c>
      <c r="G194" s="12">
        <f>95*2</f>
        <v>190</v>
      </c>
      <c r="J194" s="12">
        <v>126</v>
      </c>
      <c r="L194" s="12">
        <f>G194-J194</f>
        <v>64</v>
      </c>
      <c r="M194" s="38">
        <v>78.8</v>
      </c>
      <c r="N194" s="12">
        <v>142.80000000000001</v>
      </c>
      <c r="O194" s="13">
        <v>42414</v>
      </c>
      <c r="P194" s="91" t="s">
        <v>476</v>
      </c>
      <c r="Q194" s="63" t="s">
        <v>285</v>
      </c>
      <c r="R194" s="10" t="s">
        <v>14</v>
      </c>
      <c r="S194" s="13">
        <v>42425</v>
      </c>
    </row>
    <row r="195" spans="1:20" x14ac:dyDescent="0.2">
      <c r="A195" s="9" t="s">
        <v>528</v>
      </c>
      <c r="B195" s="10" t="s">
        <v>529</v>
      </c>
      <c r="C195" s="13">
        <v>42331</v>
      </c>
      <c r="D195" s="9" t="s">
        <v>530</v>
      </c>
      <c r="E195" s="10"/>
      <c r="G195" s="12">
        <v>21.75</v>
      </c>
      <c r="L195" s="12">
        <v>21.75</v>
      </c>
      <c r="N195" s="12">
        <v>21.75</v>
      </c>
      <c r="O195" s="13">
        <v>42331</v>
      </c>
      <c r="P195" s="13" t="s">
        <v>47</v>
      </c>
      <c r="Q195" s="63" t="s">
        <v>285</v>
      </c>
      <c r="R195" s="10" t="s">
        <v>14</v>
      </c>
      <c r="S195" s="13">
        <v>42331</v>
      </c>
    </row>
    <row r="196" spans="1:20" x14ac:dyDescent="0.2">
      <c r="A196" s="9" t="s">
        <v>532</v>
      </c>
      <c r="C196" s="13">
        <v>42364</v>
      </c>
      <c r="D196" s="9" t="s">
        <v>533</v>
      </c>
      <c r="E196" s="10"/>
      <c r="G196" s="12">
        <v>25.84</v>
      </c>
      <c r="L196" s="12">
        <v>25.84</v>
      </c>
      <c r="N196" s="12">
        <v>25.84</v>
      </c>
      <c r="O196" s="13">
        <v>42364</v>
      </c>
      <c r="P196" s="13" t="s">
        <v>47</v>
      </c>
      <c r="Q196" s="63" t="s">
        <v>285</v>
      </c>
      <c r="R196" s="10" t="s">
        <v>14</v>
      </c>
      <c r="S196" s="13">
        <v>42364</v>
      </c>
    </row>
    <row r="197" spans="1:20" ht="25.5" x14ac:dyDescent="0.2">
      <c r="A197" s="9" t="s">
        <v>163</v>
      </c>
      <c r="B197" s="90" t="s">
        <v>35</v>
      </c>
      <c r="C197" s="89" t="s">
        <v>566</v>
      </c>
      <c r="D197" s="89" t="s">
        <v>567</v>
      </c>
      <c r="E197" s="16">
        <v>42339</v>
      </c>
      <c r="F197" s="11">
        <v>27965</v>
      </c>
      <c r="G197" s="12">
        <v>14.7</v>
      </c>
      <c r="I197" s="96" t="s">
        <v>542</v>
      </c>
      <c r="L197" s="12">
        <v>14.7</v>
      </c>
      <c r="N197" s="12">
        <v>14.7</v>
      </c>
      <c r="O197" s="13">
        <v>42369</v>
      </c>
      <c r="P197" s="13" t="s">
        <v>47</v>
      </c>
      <c r="Q197" s="63" t="s">
        <v>285</v>
      </c>
      <c r="R197" s="10" t="s">
        <v>14</v>
      </c>
      <c r="S197" s="13">
        <v>42369</v>
      </c>
    </row>
    <row r="198" spans="1:20" x14ac:dyDescent="0.2">
      <c r="A198" s="9" t="s">
        <v>534</v>
      </c>
      <c r="B198" s="10" t="s">
        <v>63</v>
      </c>
      <c r="E198" s="13">
        <v>42378</v>
      </c>
      <c r="G198" s="12">
        <v>12.11</v>
      </c>
      <c r="L198" s="12">
        <v>12.11</v>
      </c>
      <c r="N198" s="12">
        <v>12.11</v>
      </c>
      <c r="O198" s="13">
        <v>42378</v>
      </c>
      <c r="P198" s="13" t="s">
        <v>531</v>
      </c>
      <c r="Q198" s="63" t="s">
        <v>285</v>
      </c>
      <c r="R198" s="10" t="s">
        <v>14</v>
      </c>
      <c r="S198" s="13">
        <v>42378</v>
      </c>
    </row>
    <row r="199" spans="1:20" x14ac:dyDescent="0.2">
      <c r="A199" s="9" t="s">
        <v>532</v>
      </c>
      <c r="B199" s="10" t="s">
        <v>10</v>
      </c>
      <c r="E199" s="13">
        <v>42394</v>
      </c>
      <c r="G199" s="12">
        <v>235.4</v>
      </c>
      <c r="L199" s="12">
        <v>235.4</v>
      </c>
      <c r="N199" s="12">
        <v>235.4</v>
      </c>
      <c r="O199" s="13">
        <v>42394</v>
      </c>
      <c r="P199" s="13" t="s">
        <v>47</v>
      </c>
      <c r="Q199" s="63" t="s">
        <v>285</v>
      </c>
      <c r="R199" s="10" t="s">
        <v>14</v>
      </c>
      <c r="S199" s="13">
        <v>42394</v>
      </c>
    </row>
    <row r="200" spans="1:20" x14ac:dyDescent="0.2">
      <c r="A200" s="9" t="s">
        <v>532</v>
      </c>
      <c r="B200" s="10" t="s">
        <v>33</v>
      </c>
      <c r="D200" s="10" t="s">
        <v>535</v>
      </c>
      <c r="E200" s="13">
        <v>42415</v>
      </c>
      <c r="G200" s="12">
        <v>73.62</v>
      </c>
      <c r="L200" s="12">
        <v>73.62</v>
      </c>
      <c r="N200" s="12">
        <v>73.62</v>
      </c>
      <c r="O200" s="13">
        <v>42415</v>
      </c>
      <c r="P200" s="13" t="s">
        <v>47</v>
      </c>
      <c r="Q200" s="63" t="s">
        <v>285</v>
      </c>
      <c r="S200" s="13">
        <v>42415</v>
      </c>
    </row>
    <row r="201" spans="1:20" ht="25.5" x14ac:dyDescent="0.2">
      <c r="A201" s="9" t="s">
        <v>171</v>
      </c>
      <c r="B201" s="10" t="s">
        <v>33</v>
      </c>
      <c r="C201" s="10" t="s">
        <v>536</v>
      </c>
      <c r="D201" s="9" t="s">
        <v>537</v>
      </c>
      <c r="E201" s="13">
        <v>42419</v>
      </c>
      <c r="F201" s="11" t="s">
        <v>538</v>
      </c>
      <c r="G201" s="12">
        <v>1605.95</v>
      </c>
      <c r="H201" s="12">
        <v>1244</v>
      </c>
      <c r="L201" s="12">
        <v>361.95</v>
      </c>
      <c r="N201" s="12">
        <v>361.95</v>
      </c>
      <c r="O201" s="13">
        <v>42426</v>
      </c>
      <c r="P201" s="91" t="s">
        <v>47</v>
      </c>
      <c r="Q201" s="92" t="s">
        <v>285</v>
      </c>
      <c r="R201" s="90" t="s">
        <v>14</v>
      </c>
      <c r="S201" s="13">
        <v>42426</v>
      </c>
      <c r="T201" s="91" t="s">
        <v>539</v>
      </c>
    </row>
    <row r="202" spans="1:20" ht="38.25" x14ac:dyDescent="0.2">
      <c r="A202" s="9" t="s">
        <v>163</v>
      </c>
      <c r="B202" s="10" t="s">
        <v>35</v>
      </c>
      <c r="C202" s="9" t="s">
        <v>540</v>
      </c>
      <c r="D202" s="9" t="s">
        <v>541</v>
      </c>
      <c r="E202" s="16">
        <v>42368</v>
      </c>
      <c r="F202" s="11">
        <v>27965</v>
      </c>
      <c r="G202" s="12">
        <f>68*7</f>
        <v>476</v>
      </c>
      <c r="I202" s="12">
        <v>366</v>
      </c>
      <c r="J202" s="12">
        <f>(41.73+2.43)*4</f>
        <v>176.64</v>
      </c>
      <c r="L202" s="12">
        <v>38.119999999999997</v>
      </c>
      <c r="N202" s="96"/>
      <c r="O202" s="13">
        <v>42488</v>
      </c>
      <c r="P202" s="91" t="s">
        <v>24</v>
      </c>
      <c r="Q202" s="63" t="s">
        <v>285</v>
      </c>
      <c r="R202" s="90" t="s">
        <v>14</v>
      </c>
    </row>
    <row r="203" spans="1:20" x14ac:dyDescent="0.2">
      <c r="A203" s="89" t="s">
        <v>163</v>
      </c>
      <c r="B203" s="90" t="s">
        <v>35</v>
      </c>
      <c r="C203" s="13">
        <v>42389</v>
      </c>
      <c r="D203" s="89" t="s">
        <v>541</v>
      </c>
      <c r="E203" s="16">
        <v>42403</v>
      </c>
      <c r="F203" s="11">
        <v>27965</v>
      </c>
      <c r="G203" s="12">
        <v>68</v>
      </c>
      <c r="I203" s="12">
        <v>230</v>
      </c>
      <c r="J203" s="12">
        <f>(41.73+2.43)*2</f>
        <v>88.32</v>
      </c>
      <c r="L203" s="12">
        <f>52.82-M203</f>
        <v>14.700000000000003</v>
      </c>
      <c r="M203" s="110">
        <v>38.119999999999997</v>
      </c>
      <c r="N203" s="96"/>
      <c r="O203" s="13">
        <v>42488</v>
      </c>
      <c r="P203" s="91" t="s">
        <v>24</v>
      </c>
      <c r="Q203" s="63" t="s">
        <v>285</v>
      </c>
      <c r="R203" s="90" t="s">
        <v>14</v>
      </c>
    </row>
    <row r="204" spans="1:20" x14ac:dyDescent="0.2">
      <c r="A204" s="89" t="s">
        <v>163</v>
      </c>
      <c r="B204" s="90" t="s">
        <v>35</v>
      </c>
      <c r="C204" s="90" t="s">
        <v>543</v>
      </c>
      <c r="D204" s="89" t="s">
        <v>541</v>
      </c>
      <c r="E204" s="16">
        <v>42431</v>
      </c>
      <c r="F204" s="11">
        <v>27965</v>
      </c>
      <c r="G204" s="12">
        <f>68*2</f>
        <v>136</v>
      </c>
      <c r="I204" s="12">
        <v>230</v>
      </c>
      <c r="L204" s="12">
        <f>164.36-M204</f>
        <v>111.54000000000002</v>
      </c>
      <c r="M204" s="38">
        <v>52.82</v>
      </c>
      <c r="N204" s="12">
        <v>164.36</v>
      </c>
      <c r="O204" s="13">
        <v>42488</v>
      </c>
      <c r="P204" s="91" t="s">
        <v>24</v>
      </c>
      <c r="Q204" s="63" t="s">
        <v>285</v>
      </c>
      <c r="R204" s="90" t="s">
        <v>14</v>
      </c>
      <c r="S204" s="13">
        <v>42499</v>
      </c>
      <c r="T204" s="89" t="s">
        <v>545</v>
      </c>
    </row>
    <row r="205" spans="1:20" ht="25.5" x14ac:dyDescent="0.2">
      <c r="A205" s="89" t="s">
        <v>481</v>
      </c>
      <c r="B205" s="90" t="s">
        <v>35</v>
      </c>
      <c r="C205" s="13">
        <v>42360</v>
      </c>
      <c r="D205" s="89" t="s">
        <v>544</v>
      </c>
      <c r="E205" s="13">
        <v>42374</v>
      </c>
      <c r="F205" s="11">
        <v>2824</v>
      </c>
      <c r="G205" s="12">
        <v>279</v>
      </c>
      <c r="H205" s="12">
        <v>93.74</v>
      </c>
      <c r="J205" s="12">
        <v>166.74</v>
      </c>
      <c r="L205" s="12">
        <v>18.52</v>
      </c>
      <c r="N205" s="12">
        <v>18.52</v>
      </c>
      <c r="O205" s="13">
        <v>42488</v>
      </c>
      <c r="P205" s="91" t="s">
        <v>24</v>
      </c>
      <c r="Q205" s="92" t="s">
        <v>285</v>
      </c>
      <c r="R205" s="90" t="s">
        <v>14</v>
      </c>
      <c r="S205" s="13">
        <v>42500</v>
      </c>
      <c r="T205" s="89" t="s">
        <v>545</v>
      </c>
    </row>
    <row r="206" spans="1:20" ht="38.25" x14ac:dyDescent="0.2">
      <c r="A206" s="89" t="s">
        <v>175</v>
      </c>
      <c r="B206" s="90" t="s">
        <v>52</v>
      </c>
      <c r="C206" s="13">
        <v>42362</v>
      </c>
      <c r="D206" s="89" t="s">
        <v>556</v>
      </c>
      <c r="E206" s="13">
        <v>42596</v>
      </c>
      <c r="F206" s="95" t="s">
        <v>555</v>
      </c>
      <c r="G206" s="12">
        <v>240</v>
      </c>
      <c r="H206" s="12">
        <v>110.79</v>
      </c>
      <c r="J206" s="12">
        <v>116.29</v>
      </c>
      <c r="L206" s="12">
        <v>12.92</v>
      </c>
      <c r="N206" s="12">
        <v>12.92</v>
      </c>
      <c r="O206" s="13">
        <v>42638</v>
      </c>
      <c r="P206" s="91" t="s">
        <v>562</v>
      </c>
      <c r="Q206" s="92" t="s">
        <v>285</v>
      </c>
      <c r="R206" s="90" t="s">
        <v>14</v>
      </c>
      <c r="S206" s="13">
        <v>42639</v>
      </c>
      <c r="T206" s="89" t="s">
        <v>554</v>
      </c>
    </row>
    <row r="207" spans="1:20" x14ac:dyDescent="0.2">
      <c r="A207" s="89" t="s">
        <v>534</v>
      </c>
      <c r="B207" s="10" t="s">
        <v>63</v>
      </c>
      <c r="C207" s="91" t="s">
        <v>10</v>
      </c>
      <c r="D207" s="89"/>
      <c r="E207" s="13"/>
      <c r="L207" s="12">
        <v>121.19</v>
      </c>
      <c r="O207" s="13">
        <v>42446</v>
      </c>
      <c r="P207" s="91"/>
      <c r="Q207" s="92"/>
      <c r="R207" s="90" t="s">
        <v>14</v>
      </c>
      <c r="S207" s="13">
        <v>42446</v>
      </c>
      <c r="T207" s="89"/>
    </row>
    <row r="208" spans="1:20" x14ac:dyDescent="0.2">
      <c r="A208" s="89" t="s">
        <v>426</v>
      </c>
      <c r="B208" s="90" t="s">
        <v>52</v>
      </c>
      <c r="C208" s="90" t="s">
        <v>10</v>
      </c>
      <c r="D208" s="89" t="s">
        <v>303</v>
      </c>
      <c r="E208" s="10"/>
      <c r="N208" s="12">
        <v>110.52</v>
      </c>
      <c r="O208" s="13">
        <v>42448</v>
      </c>
      <c r="Q208" s="92" t="s">
        <v>559</v>
      </c>
      <c r="R208" s="90" t="s">
        <v>14</v>
      </c>
      <c r="S208" s="13">
        <v>42448</v>
      </c>
    </row>
    <row r="209" spans="1:20" ht="26.25" thickBot="1" x14ac:dyDescent="0.25">
      <c r="A209" s="89" t="s">
        <v>546</v>
      </c>
      <c r="B209" s="90" t="s">
        <v>33</v>
      </c>
      <c r="C209" s="90" t="s">
        <v>547</v>
      </c>
      <c r="D209" s="89" t="s">
        <v>548</v>
      </c>
      <c r="E209" s="13">
        <v>42460</v>
      </c>
      <c r="F209" s="11">
        <v>20012013</v>
      </c>
      <c r="G209" s="12">
        <f>383+1234</f>
        <v>1617</v>
      </c>
      <c r="H209" s="12">
        <f>97.44+838.72</f>
        <v>936.16000000000008</v>
      </c>
      <c r="L209" s="12">
        <f>285.56+395.28</f>
        <v>680.83999999999992</v>
      </c>
      <c r="N209" s="12">
        <v>680.84</v>
      </c>
      <c r="O209" s="13">
        <v>42491</v>
      </c>
      <c r="P209" s="91" t="s">
        <v>24</v>
      </c>
      <c r="Q209" s="92" t="s">
        <v>285</v>
      </c>
      <c r="R209" s="90" t="s">
        <v>14</v>
      </c>
      <c r="S209" s="13">
        <v>42501</v>
      </c>
    </row>
    <row r="210" spans="1:20" ht="26.25" thickBot="1" x14ac:dyDescent="0.25">
      <c r="A210" s="89" t="s">
        <v>171</v>
      </c>
      <c r="B210" s="90" t="s">
        <v>33</v>
      </c>
      <c r="C210" s="90" t="s">
        <v>549</v>
      </c>
      <c r="D210" s="89" t="s">
        <v>550</v>
      </c>
      <c r="E210" s="13">
        <v>42454</v>
      </c>
      <c r="F210" s="95" t="s">
        <v>538</v>
      </c>
      <c r="G210" s="12">
        <f>70+73+152+140+73+152+140+152+140+152+140+152</f>
        <v>1536</v>
      </c>
      <c r="I210" s="12">
        <f>33.4+34.77+71.48+66.8+34.77+71.48+66.8+71.48+66.8+71.48+66.8+71.48</f>
        <v>727.54</v>
      </c>
      <c r="L210" s="12">
        <f>36.6+38.23+80.52+73.2+38.23+80.52+73.2+80.52+73.2+80.52+73.2+80.52</f>
        <v>808.46</v>
      </c>
      <c r="N210" s="119">
        <v>867.37</v>
      </c>
      <c r="O210" s="13">
        <v>42606</v>
      </c>
      <c r="P210" s="91" t="s">
        <v>47</v>
      </c>
      <c r="Q210" s="92" t="s">
        <v>285</v>
      </c>
      <c r="R210" s="90" t="s">
        <v>14</v>
      </c>
      <c r="S210" s="13">
        <v>42606</v>
      </c>
      <c r="T210" s="91" t="s">
        <v>539</v>
      </c>
    </row>
    <row r="211" spans="1:20" x14ac:dyDescent="0.2">
      <c r="A211" s="89" t="s">
        <v>457</v>
      </c>
      <c r="B211" s="90" t="s">
        <v>33</v>
      </c>
      <c r="C211" s="13">
        <v>42381</v>
      </c>
      <c r="D211" s="89" t="s">
        <v>551</v>
      </c>
      <c r="E211" s="13">
        <v>42418</v>
      </c>
      <c r="F211" s="11">
        <v>3871407713</v>
      </c>
      <c r="G211" s="12">
        <v>350.86</v>
      </c>
      <c r="H211" s="12">
        <v>261.92</v>
      </c>
      <c r="L211" s="12">
        <v>88.94</v>
      </c>
      <c r="N211" s="12">
        <v>88.94</v>
      </c>
      <c r="O211" s="13">
        <v>42491</v>
      </c>
      <c r="P211" s="91" t="s">
        <v>24</v>
      </c>
      <c r="Q211" s="92" t="s">
        <v>285</v>
      </c>
      <c r="R211" s="90" t="s">
        <v>14</v>
      </c>
      <c r="S211" s="13">
        <v>42491</v>
      </c>
    </row>
    <row r="212" spans="1:20" ht="38.25" x14ac:dyDescent="0.2">
      <c r="A212" s="89" t="s">
        <v>434</v>
      </c>
      <c r="B212" s="90" t="s">
        <v>33</v>
      </c>
      <c r="C212" s="13">
        <v>42381</v>
      </c>
      <c r="D212" s="89" t="s">
        <v>435</v>
      </c>
      <c r="E212" s="13">
        <v>42436</v>
      </c>
      <c r="F212" s="95" t="s">
        <v>552</v>
      </c>
      <c r="G212" s="12">
        <v>99</v>
      </c>
      <c r="J212" s="111">
        <v>99</v>
      </c>
      <c r="O212" s="13">
        <v>42494</v>
      </c>
      <c r="P212" s="130" t="s">
        <v>437</v>
      </c>
      <c r="Q212" s="130"/>
      <c r="R212" s="90" t="s">
        <v>14</v>
      </c>
      <c r="S212" s="90" t="s">
        <v>553</v>
      </c>
    </row>
    <row r="213" spans="1:20" x14ac:dyDescent="0.2">
      <c r="A213" s="89" t="s">
        <v>287</v>
      </c>
      <c r="B213" s="90" t="s">
        <v>557</v>
      </c>
      <c r="C213" s="90" t="s">
        <v>558</v>
      </c>
      <c r="E213" s="10"/>
      <c r="G213" s="12">
        <v>362.8</v>
      </c>
      <c r="J213" s="12">
        <f>165.6+88.2</f>
        <v>253.8</v>
      </c>
      <c r="L213" s="12">
        <f>G213-J213</f>
        <v>109</v>
      </c>
    </row>
    <row r="214" spans="1:20" x14ac:dyDescent="0.2">
      <c r="A214" s="89" t="s">
        <v>287</v>
      </c>
      <c r="B214" s="90" t="s">
        <v>52</v>
      </c>
      <c r="C214" s="13">
        <v>42580</v>
      </c>
      <c r="D214" s="89" t="s">
        <v>572</v>
      </c>
      <c r="E214" s="13">
        <v>42608</v>
      </c>
      <c r="F214" s="11">
        <v>5080</v>
      </c>
      <c r="G214" s="12">
        <f>65+75+44</f>
        <v>184</v>
      </c>
      <c r="J214" s="12">
        <v>165.6</v>
      </c>
      <c r="L214" s="12">
        <f>G214-J214</f>
        <v>18.400000000000006</v>
      </c>
      <c r="M214" s="38">
        <v>109</v>
      </c>
      <c r="N214" s="12">
        <v>127.4</v>
      </c>
      <c r="O214" s="13">
        <v>42640</v>
      </c>
      <c r="P214" s="91" t="s">
        <v>476</v>
      </c>
      <c r="Q214" s="92" t="s">
        <v>285</v>
      </c>
    </row>
    <row r="215" spans="1:20" x14ac:dyDescent="0.2">
      <c r="A215" s="89" t="s">
        <v>500</v>
      </c>
      <c r="B215" s="90" t="s">
        <v>33</v>
      </c>
      <c r="C215" s="90" t="s">
        <v>560</v>
      </c>
      <c r="D215" s="89" t="s">
        <v>561</v>
      </c>
      <c r="E215" s="13">
        <v>42556</v>
      </c>
      <c r="F215" s="95" t="s">
        <v>502</v>
      </c>
      <c r="L215" s="12">
        <v>183.7</v>
      </c>
      <c r="N215" s="12">
        <v>183.7</v>
      </c>
      <c r="O215" s="13">
        <v>42593</v>
      </c>
      <c r="P215" s="91" t="s">
        <v>47</v>
      </c>
      <c r="Q215" s="92" t="s">
        <v>285</v>
      </c>
      <c r="R215" s="90" t="s">
        <v>14</v>
      </c>
      <c r="S215" s="13">
        <v>42593</v>
      </c>
      <c r="T215" s="89" t="s">
        <v>563</v>
      </c>
    </row>
    <row r="216" spans="1:20" s="22" customFormat="1" x14ac:dyDescent="0.2">
      <c r="A216" s="121" t="s">
        <v>500</v>
      </c>
      <c r="B216" s="122" t="s">
        <v>33</v>
      </c>
      <c r="C216" s="23">
        <v>42593</v>
      </c>
      <c r="D216" s="121" t="s">
        <v>561</v>
      </c>
      <c r="E216" s="23">
        <v>42614</v>
      </c>
      <c r="F216" s="123" t="s">
        <v>502</v>
      </c>
      <c r="G216" s="26">
        <v>167</v>
      </c>
      <c r="H216" s="26"/>
      <c r="I216" s="26"/>
      <c r="J216" s="26">
        <v>150.30000000000001</v>
      </c>
      <c r="K216" s="26"/>
      <c r="L216" s="26">
        <f>G216-J216</f>
        <v>16.699999999999989</v>
      </c>
      <c r="M216" s="40"/>
      <c r="N216" s="26">
        <v>16.7</v>
      </c>
      <c r="O216" s="23">
        <v>42688</v>
      </c>
      <c r="P216" s="124" t="s">
        <v>47</v>
      </c>
      <c r="Q216" s="125" t="s">
        <v>285</v>
      </c>
      <c r="R216" s="122" t="s">
        <v>14</v>
      </c>
      <c r="T216" s="121" t="s">
        <v>563</v>
      </c>
    </row>
    <row r="217" spans="1:20" s="117" customFormat="1" x14ac:dyDescent="0.2">
      <c r="A217" s="112" t="s">
        <v>500</v>
      </c>
      <c r="B217" s="113" t="s">
        <v>33</v>
      </c>
      <c r="C217" s="94">
        <v>42688</v>
      </c>
      <c r="D217" s="112" t="s">
        <v>561</v>
      </c>
      <c r="E217" s="94">
        <v>42731</v>
      </c>
      <c r="F217" s="114" t="s">
        <v>502</v>
      </c>
      <c r="G217" s="74">
        <f>167+173</f>
        <v>340</v>
      </c>
      <c r="H217" s="74">
        <v>57.71</v>
      </c>
      <c r="I217" s="74"/>
      <c r="J217" s="74">
        <v>254.07</v>
      </c>
      <c r="K217" s="74"/>
      <c r="L217" s="74">
        <f>G217-H217-J217</f>
        <v>28.220000000000027</v>
      </c>
      <c r="M217" s="115"/>
      <c r="N217" s="74"/>
      <c r="O217" s="94"/>
      <c r="P217" s="94"/>
      <c r="Q217" s="116"/>
      <c r="T217" s="118" t="s">
        <v>599</v>
      </c>
    </row>
    <row r="218" spans="1:20" ht="89.25" x14ac:dyDescent="0.2">
      <c r="A218" s="9" t="s">
        <v>163</v>
      </c>
      <c r="B218" s="90" t="s">
        <v>35</v>
      </c>
      <c r="C218" s="89" t="s">
        <v>591</v>
      </c>
      <c r="D218" s="89" t="s">
        <v>589</v>
      </c>
      <c r="E218" s="16">
        <v>42683</v>
      </c>
      <c r="F218" s="11">
        <v>27965</v>
      </c>
      <c r="G218" s="12">
        <v>1840</v>
      </c>
      <c r="J218" s="12">
        <v>1057.22</v>
      </c>
      <c r="L218" s="12">
        <v>265.7</v>
      </c>
      <c r="N218" s="12">
        <v>265.7</v>
      </c>
      <c r="O218" s="13">
        <v>42685</v>
      </c>
      <c r="P218" s="13" t="s">
        <v>564</v>
      </c>
      <c r="Q218" s="63" t="s">
        <v>285</v>
      </c>
      <c r="R218" s="10" t="s">
        <v>14</v>
      </c>
      <c r="T218" s="9" t="s">
        <v>565</v>
      </c>
    </row>
    <row r="219" spans="1:20" ht="25.5" x14ac:dyDescent="0.2">
      <c r="A219" s="89" t="s">
        <v>481</v>
      </c>
      <c r="B219" s="90" t="s">
        <v>33</v>
      </c>
      <c r="C219" s="90" t="s">
        <v>570</v>
      </c>
      <c r="D219" s="89" t="s">
        <v>571</v>
      </c>
      <c r="E219" s="13">
        <v>42768</v>
      </c>
      <c r="F219" s="11">
        <v>10974</v>
      </c>
      <c r="G219" s="12">
        <f>577+294+294</f>
        <v>1165</v>
      </c>
      <c r="H219" s="12">
        <f>184.42+93.54+93.54</f>
        <v>371.5</v>
      </c>
      <c r="J219" s="12">
        <f>353.33+180.42</f>
        <v>533.75</v>
      </c>
      <c r="L219" s="12">
        <f>G219-H219-J219</f>
        <v>259.75</v>
      </c>
      <c r="N219" s="74">
        <v>259.75</v>
      </c>
      <c r="O219" s="94">
        <v>42820</v>
      </c>
      <c r="P219" s="126" t="s">
        <v>24</v>
      </c>
      <c r="Q219" s="127" t="s">
        <v>595</v>
      </c>
      <c r="T219" s="89" t="s">
        <v>590</v>
      </c>
    </row>
    <row r="220" spans="1:20" x14ac:dyDescent="0.2">
      <c r="A220" s="89" t="s">
        <v>457</v>
      </c>
      <c r="B220" s="90" t="s">
        <v>35</v>
      </c>
      <c r="C220" s="13">
        <v>42541</v>
      </c>
      <c r="D220" s="89" t="s">
        <v>417</v>
      </c>
      <c r="E220" s="13">
        <v>42705</v>
      </c>
      <c r="F220" s="11">
        <v>4249056002</v>
      </c>
      <c r="G220" s="12">
        <f>32.45+129.79+54.08+129.79+122.04+41.1+125.47+40.51+10+57.93+117.79+26.8+139.87</f>
        <v>1027.6199999999999</v>
      </c>
      <c r="H220" s="12">
        <v>883.17</v>
      </c>
      <c r="J220" s="12">
        <v>130.05000000000001</v>
      </c>
      <c r="L220" s="12">
        <f>G220-H220-J220</f>
        <v>14.39999999999992</v>
      </c>
      <c r="N220" s="12">
        <v>14.4</v>
      </c>
      <c r="O220" s="13">
        <v>42805</v>
      </c>
      <c r="P220" s="91" t="s">
        <v>462</v>
      </c>
      <c r="Q220" s="92" t="s">
        <v>71</v>
      </c>
      <c r="R220" s="90" t="s">
        <v>14</v>
      </c>
      <c r="T220" s="89" t="s">
        <v>573</v>
      </c>
    </row>
    <row r="221" spans="1:20" s="117" customFormat="1" ht="51" x14ac:dyDescent="0.2">
      <c r="A221" s="118" t="s">
        <v>574</v>
      </c>
      <c r="B221" s="117" t="s">
        <v>33</v>
      </c>
      <c r="C221" s="94">
        <v>42244</v>
      </c>
      <c r="D221" s="118" t="s">
        <v>390</v>
      </c>
      <c r="E221" s="118" t="s">
        <v>598</v>
      </c>
      <c r="F221" s="129">
        <v>46079</v>
      </c>
      <c r="G221" s="74">
        <f>32+97+15</f>
        <v>144</v>
      </c>
      <c r="H221" s="74">
        <f>14.95+15</f>
        <v>29.95</v>
      </c>
      <c r="I221" s="74"/>
      <c r="J221" s="74">
        <v>15.35</v>
      </c>
      <c r="K221" s="74">
        <f>112.52-98.7</f>
        <v>13.819999999999993</v>
      </c>
      <c r="L221" s="74">
        <f>G221-H221-J221+K221</f>
        <v>112.52</v>
      </c>
      <c r="M221" s="115"/>
      <c r="N221" s="74"/>
      <c r="O221" s="94"/>
      <c r="P221" s="94"/>
      <c r="Q221" s="116"/>
      <c r="T221" s="118" t="s">
        <v>575</v>
      </c>
    </row>
    <row r="222" spans="1:20" x14ac:dyDescent="0.2">
      <c r="A222" s="9" t="s">
        <v>287</v>
      </c>
      <c r="B222" s="10" t="s">
        <v>35</v>
      </c>
      <c r="C222" s="13">
        <v>42670</v>
      </c>
      <c r="D222" s="118" t="s">
        <v>80</v>
      </c>
      <c r="E222" s="117"/>
      <c r="F222" s="11">
        <v>5080</v>
      </c>
      <c r="G222" s="12" t="s">
        <v>80</v>
      </c>
      <c r="J222" s="12">
        <v>145.5</v>
      </c>
      <c r="L222" s="74"/>
      <c r="M222" s="115"/>
      <c r="Q222" s="63" t="s">
        <v>586</v>
      </c>
      <c r="R222" s="10" t="s">
        <v>585</v>
      </c>
    </row>
    <row r="223" spans="1:20" x14ac:dyDescent="0.2">
      <c r="A223" s="9" t="s">
        <v>287</v>
      </c>
      <c r="B223" s="10" t="s">
        <v>35</v>
      </c>
      <c r="C223" s="13" t="s">
        <v>577</v>
      </c>
      <c r="D223" s="9" t="s">
        <v>576</v>
      </c>
      <c r="E223" s="13">
        <v>42703</v>
      </c>
      <c r="F223" s="11">
        <v>5080</v>
      </c>
      <c r="G223" s="12">
        <f>235+285+262+151</f>
        <v>933</v>
      </c>
      <c r="J223" s="74">
        <v>628.20000000000005</v>
      </c>
      <c r="L223" s="12">
        <f>G223-J223</f>
        <v>304.79999999999995</v>
      </c>
      <c r="M223" s="38">
        <f>278.5-145.5</f>
        <v>133</v>
      </c>
      <c r="Q223" s="63" t="s">
        <v>586</v>
      </c>
      <c r="R223" s="10" t="s">
        <v>585</v>
      </c>
    </row>
    <row r="224" spans="1:20" ht="25.5" x14ac:dyDescent="0.2">
      <c r="A224" s="9" t="s">
        <v>287</v>
      </c>
      <c r="B224" s="10" t="s">
        <v>35</v>
      </c>
      <c r="C224" s="13">
        <v>42705</v>
      </c>
      <c r="D224" s="9" t="s">
        <v>578</v>
      </c>
      <c r="E224" s="13">
        <v>42725</v>
      </c>
      <c r="F224" s="11">
        <v>5080</v>
      </c>
      <c r="G224" s="12">
        <f>995</f>
        <v>995</v>
      </c>
      <c r="J224" s="74"/>
      <c r="L224" s="12">
        <v>995</v>
      </c>
      <c r="M224" s="38">
        <v>781</v>
      </c>
      <c r="Q224" s="63" t="s">
        <v>586</v>
      </c>
      <c r="R224" s="10" t="s">
        <v>585</v>
      </c>
      <c r="T224" s="9" t="s">
        <v>579</v>
      </c>
    </row>
    <row r="225" spans="1:18" ht="25.5" x14ac:dyDescent="0.2">
      <c r="A225" s="9" t="s">
        <v>287</v>
      </c>
      <c r="B225" s="90" t="s">
        <v>592</v>
      </c>
      <c r="C225" s="91" t="s">
        <v>593</v>
      </c>
      <c r="D225" s="121" t="s">
        <v>594</v>
      </c>
      <c r="E225" s="23">
        <v>42762</v>
      </c>
      <c r="F225" s="11">
        <v>5080</v>
      </c>
      <c r="G225" s="26">
        <f>65+48+75+44+29+210</f>
        <v>471</v>
      </c>
      <c r="J225" s="12">
        <v>215.1</v>
      </c>
      <c r="L225" s="26">
        <v>2153.1</v>
      </c>
      <c r="M225" s="40">
        <v>2061</v>
      </c>
      <c r="Q225" s="63" t="s">
        <v>586</v>
      </c>
      <c r="R225" s="10" t="s">
        <v>585</v>
      </c>
    </row>
    <row r="226" spans="1:18" x14ac:dyDescent="0.2">
      <c r="A226" s="9" t="s">
        <v>287</v>
      </c>
      <c r="B226" s="10" t="s">
        <v>581</v>
      </c>
      <c r="C226" s="10" t="s">
        <v>580</v>
      </c>
      <c r="D226" s="9" t="s">
        <v>582</v>
      </c>
      <c r="E226" s="13">
        <v>42793</v>
      </c>
      <c r="F226" s="11">
        <v>5080</v>
      </c>
      <c r="G226" s="12">
        <f>65+48+75+44+65+98+72+44+65+98+72+65+48+75+44</f>
        <v>978</v>
      </c>
      <c r="J226" s="12">
        <f>208.8+251.1+211.5+208.8</f>
        <v>880.2</v>
      </c>
      <c r="L226" s="12">
        <f>M226+G226-J226-J225</f>
        <v>2182.7000000000003</v>
      </c>
      <c r="M226" s="38">
        <v>2300</v>
      </c>
      <c r="N226" s="12">
        <v>2182.6999999999998</v>
      </c>
      <c r="O226" s="13">
        <v>42819</v>
      </c>
      <c r="P226" s="13" t="s">
        <v>583</v>
      </c>
      <c r="Q226" s="63" t="s">
        <v>584</v>
      </c>
      <c r="R226" s="10" t="s">
        <v>14</v>
      </c>
    </row>
    <row r="227" spans="1:18" ht="25.5" x14ac:dyDescent="0.2">
      <c r="A227" s="9" t="s">
        <v>163</v>
      </c>
      <c r="B227" s="10" t="s">
        <v>35</v>
      </c>
      <c r="C227" s="9" t="s">
        <v>587</v>
      </c>
      <c r="D227" s="89" t="s">
        <v>589</v>
      </c>
      <c r="E227" s="107" t="s">
        <v>597</v>
      </c>
      <c r="F227" s="11">
        <v>27965</v>
      </c>
      <c r="G227" s="12">
        <f>62+6+62+6+62+6+62+6+62+6+62+6</f>
        <v>408</v>
      </c>
      <c r="J227" s="74">
        <f>41.73+2.07+41.73+2.07+41.73+2.07+38.79+2.07+38.79+2.07</f>
        <v>213.11999999999995</v>
      </c>
      <c r="L227" s="12">
        <v>23.66</v>
      </c>
      <c r="N227" s="12">
        <v>23.66</v>
      </c>
      <c r="O227" s="13">
        <v>42819</v>
      </c>
      <c r="P227" s="91" t="s">
        <v>24</v>
      </c>
      <c r="Q227" s="92" t="s">
        <v>588</v>
      </c>
      <c r="R227" s="90" t="s">
        <v>14</v>
      </c>
    </row>
    <row r="228" spans="1:18" x14ac:dyDescent="0.2">
      <c r="A228" s="89" t="s">
        <v>163</v>
      </c>
      <c r="B228" s="90" t="s">
        <v>33</v>
      </c>
      <c r="C228" s="13">
        <v>42767</v>
      </c>
      <c r="D228" s="89" t="s">
        <v>596</v>
      </c>
      <c r="E228" s="16">
        <v>42803</v>
      </c>
      <c r="F228" s="11">
        <v>26357</v>
      </c>
      <c r="G228" s="12">
        <v>262</v>
      </c>
      <c r="J228" s="12">
        <v>73.84</v>
      </c>
      <c r="L228" s="12">
        <f>G228-J228</f>
        <v>188.16</v>
      </c>
    </row>
    <row r="229" spans="1:18" ht="38.25" x14ac:dyDescent="0.2">
      <c r="A229" s="89" t="s">
        <v>163</v>
      </c>
      <c r="B229" s="90" t="s">
        <v>35</v>
      </c>
      <c r="C229" s="16" t="s">
        <v>602</v>
      </c>
      <c r="D229" s="9" t="s">
        <v>589</v>
      </c>
      <c r="E229" s="16">
        <v>42836</v>
      </c>
      <c r="F229" s="11">
        <v>27965</v>
      </c>
      <c r="G229" s="12">
        <f>68+68+68+68+68*4+68*2</f>
        <v>680</v>
      </c>
      <c r="H229" s="12">
        <f>(18.9+3.7)*9</f>
        <v>203.39999999999998</v>
      </c>
      <c r="J229" s="12">
        <f>40.86+68</f>
        <v>108.86</v>
      </c>
      <c r="L229" s="12">
        <f>G229-H229-J229</f>
        <v>367.74</v>
      </c>
      <c r="N229" s="12">
        <v>367.74</v>
      </c>
      <c r="O229" s="13">
        <v>42868</v>
      </c>
      <c r="P229" s="13" t="s">
        <v>24</v>
      </c>
      <c r="Q229" s="63" t="s">
        <v>603</v>
      </c>
    </row>
    <row r="230" spans="1:18" ht="38.25" x14ac:dyDescent="0.2">
      <c r="A230" s="9" t="s">
        <v>287</v>
      </c>
      <c r="B230" s="10" t="s">
        <v>35</v>
      </c>
      <c r="C230" s="10" t="s">
        <v>600</v>
      </c>
      <c r="D230" s="9" t="s">
        <v>601</v>
      </c>
      <c r="E230" s="16">
        <v>42853</v>
      </c>
      <c r="F230" s="11">
        <v>5080</v>
      </c>
      <c r="G230" s="12">
        <f>315+65+98+156+180+180+151</f>
        <v>1145</v>
      </c>
      <c r="J230" s="12">
        <f>238.5+146.7+600.3</f>
        <v>985.5</v>
      </c>
      <c r="L230" s="12">
        <f>G230-J230</f>
        <v>159.5</v>
      </c>
      <c r="N230" s="12">
        <v>159.5</v>
      </c>
      <c r="O230" s="13">
        <v>42868</v>
      </c>
      <c r="P230" s="13" t="s">
        <v>24</v>
      </c>
      <c r="Q230" s="63" t="s">
        <v>604</v>
      </c>
      <c r="R230" s="10" t="s">
        <v>14</v>
      </c>
    </row>
    <row r="231" spans="1:18" x14ac:dyDescent="0.2">
      <c r="A231" s="89" t="s">
        <v>163</v>
      </c>
      <c r="B231" s="90" t="s">
        <v>33</v>
      </c>
      <c r="C231" s="13">
        <v>42873</v>
      </c>
      <c r="D231" s="89" t="s">
        <v>605</v>
      </c>
      <c r="E231" s="16">
        <v>42894</v>
      </c>
      <c r="F231" s="11">
        <v>35224</v>
      </c>
      <c r="G231" s="12">
        <v>178</v>
      </c>
      <c r="J231" s="12">
        <v>51.32</v>
      </c>
      <c r="L231" s="12">
        <v>126.68</v>
      </c>
      <c r="N231" s="12">
        <v>126.68</v>
      </c>
      <c r="O231" s="13">
        <v>42925</v>
      </c>
      <c r="P231" s="91" t="s">
        <v>24</v>
      </c>
      <c r="Q231" s="92" t="s">
        <v>609</v>
      </c>
      <c r="R231" s="90" t="s">
        <v>14</v>
      </c>
    </row>
    <row r="232" spans="1:18" ht="38.25" x14ac:dyDescent="0.2">
      <c r="A232" s="89" t="s">
        <v>163</v>
      </c>
      <c r="B232" s="90" t="s">
        <v>35</v>
      </c>
      <c r="C232" s="89" t="s">
        <v>607</v>
      </c>
      <c r="D232" s="89" t="s">
        <v>606</v>
      </c>
      <c r="E232" s="16">
        <v>42894</v>
      </c>
      <c r="F232" s="11">
        <v>27965</v>
      </c>
      <c r="G232" s="12">
        <f>68*5+178</f>
        <v>518</v>
      </c>
      <c r="J232" s="12">
        <f>18.9*5+3.7+3.9*4+51.32</f>
        <v>165.12</v>
      </c>
      <c r="L232" s="12">
        <f>G232-J232</f>
        <v>352.88</v>
      </c>
      <c r="N232" s="12">
        <v>352.88</v>
      </c>
      <c r="O232" s="13">
        <v>42925</v>
      </c>
      <c r="P232" s="91" t="s">
        <v>24</v>
      </c>
      <c r="Q232" s="92" t="s">
        <v>608</v>
      </c>
      <c r="R232" s="90" t="s">
        <v>14</v>
      </c>
    </row>
    <row r="233" spans="1:18" x14ac:dyDescent="0.2">
      <c r="A233" s="9" t="s">
        <v>610</v>
      </c>
      <c r="B233" s="10" t="s">
        <v>63</v>
      </c>
      <c r="C233" s="13">
        <v>42940</v>
      </c>
      <c r="D233" s="9" t="s">
        <v>611</v>
      </c>
      <c r="G233" s="12">
        <v>124</v>
      </c>
      <c r="L233" s="12">
        <v>124</v>
      </c>
      <c r="N233" s="12">
        <v>124</v>
      </c>
      <c r="O233" s="13">
        <v>42941</v>
      </c>
      <c r="P233" s="13" t="s">
        <v>522</v>
      </c>
      <c r="Q233" s="92" t="s">
        <v>285</v>
      </c>
      <c r="R233" s="10" t="s">
        <v>14</v>
      </c>
    </row>
    <row r="234" spans="1:18" ht="25.5" x14ac:dyDescent="0.2">
      <c r="A234" s="89" t="s">
        <v>287</v>
      </c>
      <c r="B234" s="90" t="s">
        <v>612</v>
      </c>
      <c r="C234" s="90" t="s">
        <v>613</v>
      </c>
      <c r="D234" s="89" t="s">
        <v>614</v>
      </c>
      <c r="E234" s="16">
        <v>42969</v>
      </c>
      <c r="F234" s="11">
        <v>5080</v>
      </c>
      <c r="G234" s="12">
        <v>614</v>
      </c>
      <c r="J234" s="12">
        <v>552.6</v>
      </c>
      <c r="L234" s="12">
        <v>61.4</v>
      </c>
      <c r="N234" s="12">
        <v>61.4</v>
      </c>
      <c r="O234" s="13">
        <v>42987</v>
      </c>
      <c r="P234" s="91" t="s">
        <v>24</v>
      </c>
      <c r="Q234" s="92" t="s">
        <v>615</v>
      </c>
      <c r="R234" s="90" t="s">
        <v>14</v>
      </c>
    </row>
    <row r="235" spans="1:18" ht="25.5" x14ac:dyDescent="0.2">
      <c r="A235" s="89" t="s">
        <v>163</v>
      </c>
      <c r="B235" s="90" t="s">
        <v>10</v>
      </c>
      <c r="C235" s="90" t="s">
        <v>80</v>
      </c>
      <c r="D235" s="89" t="s">
        <v>619</v>
      </c>
      <c r="E235" s="89" t="s">
        <v>10</v>
      </c>
      <c r="F235" s="95" t="s">
        <v>10</v>
      </c>
      <c r="N235" s="12">
        <v>183.7</v>
      </c>
      <c r="O235" s="13">
        <v>42987</v>
      </c>
      <c r="P235" s="91" t="s">
        <v>24</v>
      </c>
      <c r="Q235" s="92" t="s">
        <v>620</v>
      </c>
      <c r="R235" s="90" t="s">
        <v>14</v>
      </c>
    </row>
    <row r="236" spans="1:18" ht="25.5" x14ac:dyDescent="0.2">
      <c r="A236" s="89" t="s">
        <v>163</v>
      </c>
      <c r="B236" s="90" t="s">
        <v>35</v>
      </c>
      <c r="C236" s="156" t="s">
        <v>616</v>
      </c>
      <c r="D236" s="89" t="s">
        <v>617</v>
      </c>
      <c r="E236" s="16">
        <v>42979</v>
      </c>
      <c r="F236" s="11">
        <v>27965</v>
      </c>
      <c r="G236" s="12">
        <f>62*6+6*5+12</f>
        <v>414</v>
      </c>
      <c r="J236" s="96">
        <f>18.9*6+3.9*3+7+3.5*2</f>
        <v>139.1</v>
      </c>
      <c r="L236" s="12">
        <f>G236-J236</f>
        <v>274.89999999999998</v>
      </c>
      <c r="N236" s="12">
        <v>274.89999999999998</v>
      </c>
      <c r="O236" s="13">
        <v>43002</v>
      </c>
      <c r="P236" s="91" t="s">
        <v>24</v>
      </c>
      <c r="Q236" s="92" t="s">
        <v>618</v>
      </c>
      <c r="R236" s="90" t="s">
        <v>14</v>
      </c>
    </row>
  </sheetData>
  <autoFilter ref="A5:T229"/>
  <mergeCells count="24"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  <mergeCell ref="Q101:Q103"/>
    <mergeCell ref="N93:N95"/>
    <mergeCell ref="O93:O95"/>
    <mergeCell ref="P93:P95"/>
    <mergeCell ref="Q93:Q95"/>
    <mergeCell ref="N114:N117"/>
    <mergeCell ref="N136:N140"/>
    <mergeCell ref="N101:N103"/>
    <mergeCell ref="N106:N107"/>
    <mergeCell ref="P101:P103"/>
    <mergeCell ref="P212:Q212"/>
    <mergeCell ref="P142:Q142"/>
    <mergeCell ref="O129:O130"/>
    <mergeCell ref="N129:N130"/>
    <mergeCell ref="N123:N127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"/>
  <sheetViews>
    <sheetView workbookViewId="0">
      <selection activeCell="B21" sqref="B21"/>
    </sheetView>
  </sheetViews>
  <sheetFormatPr defaultRowHeight="12.75" x14ac:dyDescent="0.2"/>
  <cols>
    <col min="2" max="2" width="143.85546875" bestFit="1" customWidth="1"/>
  </cols>
  <sheetData>
    <row r="2" spans="1:2" x14ac:dyDescent="0.2">
      <c r="A2" s="1">
        <v>42769</v>
      </c>
      <c r="B2" s="120" t="s">
        <v>568</v>
      </c>
    </row>
    <row r="3" spans="1:2" x14ac:dyDescent="0.2">
      <c r="B3" s="120" t="s">
        <v>569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96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C97" sqref="C97"/>
    </sheetView>
  </sheetViews>
  <sheetFormatPr defaultRowHeight="12.75" x14ac:dyDescent="0.2"/>
  <cols>
    <col min="1" max="1" width="15.7109375" customWidth="1"/>
    <col min="3" max="3" width="34.28515625" bestFit="1" customWidth="1"/>
    <col min="4" max="4" width="10.140625" bestFit="1" customWidth="1"/>
    <col min="5" max="5" width="4.5703125" customWidth="1"/>
    <col min="6" max="6" width="9.140625" style="36"/>
    <col min="7" max="7" width="16.42578125" bestFit="1" customWidth="1"/>
    <col min="8" max="8" width="10.140625" bestFit="1" customWidth="1"/>
    <col min="9" max="9" width="22.140625" bestFit="1" customWidth="1"/>
    <col min="10" max="10" width="10.5703125" bestFit="1" customWidth="1"/>
  </cols>
  <sheetData>
    <row r="4" spans="1:10" x14ac:dyDescent="0.2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">
      <c r="H5">
        <v>526.97</v>
      </c>
    </row>
    <row r="6" spans="1:10" x14ac:dyDescent="0.2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">
      <c r="A7" s="1"/>
      <c r="H7" s="3">
        <v>488.47</v>
      </c>
    </row>
    <row r="8" spans="1:10" x14ac:dyDescent="0.2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">
      <c r="A9" s="1"/>
      <c r="H9" s="3"/>
    </row>
    <row r="10" spans="1:10" x14ac:dyDescent="0.2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">
      <c r="A13" s="1">
        <v>39400</v>
      </c>
      <c r="H13">
        <v>481.4</v>
      </c>
    </row>
    <row r="14" spans="1:10" x14ac:dyDescent="0.2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">
      <c r="H31">
        <v>980.87</v>
      </c>
    </row>
    <row r="32" spans="1:10" x14ac:dyDescent="0.2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">
      <c r="G36" s="3">
        <f>H36-H35</f>
        <v>0.76999999999998181</v>
      </c>
      <c r="H36">
        <v>992.26</v>
      </c>
    </row>
    <row r="37" spans="1:18" x14ac:dyDescent="0.2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">
      <c r="G42" s="10">
        <v>125</v>
      </c>
      <c r="H42" s="12">
        <f t="shared" si="1"/>
        <v>649.86000000000013</v>
      </c>
    </row>
    <row r="43" spans="1:18" s="10" customFormat="1" x14ac:dyDescent="0.2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">
      <c r="A50" t="s">
        <v>211</v>
      </c>
      <c r="G50" s="50">
        <v>250.41</v>
      </c>
      <c r="H50" s="12">
        <f t="shared" si="2"/>
        <v>635</v>
      </c>
    </row>
    <row r="51" spans="1:9" x14ac:dyDescent="0.2">
      <c r="A51" t="s">
        <v>212</v>
      </c>
      <c r="G51" s="50">
        <v>250.77</v>
      </c>
      <c r="H51" s="12">
        <f t="shared" si="2"/>
        <v>885.77</v>
      </c>
    </row>
    <row r="52" spans="1:9" x14ac:dyDescent="0.2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">
      <c r="A53" t="s">
        <v>213</v>
      </c>
      <c r="G53" s="50">
        <v>250.93</v>
      </c>
      <c r="H53" s="12">
        <f t="shared" si="2"/>
        <v>1116.29</v>
      </c>
    </row>
    <row r="54" spans="1:9" x14ac:dyDescent="0.2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5.5" x14ac:dyDescent="0.2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">
      <c r="C70" s="9"/>
    </row>
    <row r="71" spans="1:14" x14ac:dyDescent="0.2">
      <c r="A71" s="1">
        <v>40787</v>
      </c>
      <c r="H71">
        <v>339.25</v>
      </c>
    </row>
    <row r="72" spans="1:14" x14ac:dyDescent="0.2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">
      <c r="A75" s="1"/>
      <c r="L75">
        <f>M75/24</f>
        <v>100</v>
      </c>
      <c r="M75">
        <v>2400</v>
      </c>
      <c r="N75" s="88" t="s">
        <v>422</v>
      </c>
    </row>
    <row r="76" spans="1:14" x14ac:dyDescent="0.2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">
      <c r="A89" s="1">
        <v>42302</v>
      </c>
      <c r="H89" s="109">
        <v>1627.17</v>
      </c>
    </row>
    <row r="90" spans="1:10" x14ac:dyDescent="0.2">
      <c r="C90" t="s">
        <v>513</v>
      </c>
      <c r="F90" s="36">
        <v>936.68</v>
      </c>
      <c r="H90" s="109">
        <f>H89-F90</f>
        <v>690.49000000000012</v>
      </c>
    </row>
    <row r="92" spans="1:10" x14ac:dyDescent="0.2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">
      <c r="C93" t="s">
        <v>519</v>
      </c>
      <c r="F93" s="36">
        <v>200.9</v>
      </c>
      <c r="H93" s="109">
        <f>H92-F93</f>
        <v>1182.3599999999999</v>
      </c>
    </row>
    <row r="95" spans="1:10" x14ac:dyDescent="0.2">
      <c r="A95" s="1">
        <v>42417</v>
      </c>
      <c r="C95" t="s">
        <v>408</v>
      </c>
      <c r="H95">
        <v>2551.9499999999998</v>
      </c>
    </row>
    <row r="96" spans="1:10" x14ac:dyDescent="0.2">
      <c r="C96" t="s">
        <v>519</v>
      </c>
      <c r="F96" s="12">
        <v>142.80000000000001</v>
      </c>
      <c r="H96" s="109">
        <f>H95-F96</f>
        <v>2409.1499999999996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27"/>
  <sheetViews>
    <sheetView workbookViewId="0">
      <selection activeCell="I29" sqref="I29"/>
    </sheetView>
  </sheetViews>
  <sheetFormatPr defaultRowHeight="12.75" x14ac:dyDescent="0.2"/>
  <cols>
    <col min="1" max="1" width="9.85546875" bestFit="1" customWidth="1"/>
    <col min="2" max="2" width="14" bestFit="1" customWidth="1"/>
    <col min="4" max="4" width="13.85546875" bestFit="1" customWidth="1"/>
    <col min="5" max="5" width="12.5703125" bestFit="1" customWidth="1"/>
    <col min="6" max="6" width="18" bestFit="1" customWidth="1"/>
    <col min="7" max="7" width="9.5703125" bestFit="1" customWidth="1"/>
    <col min="8" max="8" width="9.28515625" bestFit="1" customWidth="1"/>
    <col min="10" max="10" width="9" bestFit="1" customWidth="1"/>
  </cols>
  <sheetData>
    <row r="3" spans="1:11" x14ac:dyDescent="0.2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">
      <c r="I10">
        <f t="shared" si="0"/>
        <v>0</v>
      </c>
      <c r="K10">
        <f t="shared" si="1"/>
        <v>-150</v>
      </c>
    </row>
    <row r="11" spans="1:11" x14ac:dyDescent="0.2">
      <c r="I11">
        <f t="shared" si="0"/>
        <v>0</v>
      </c>
      <c r="K11">
        <f t="shared" si="1"/>
        <v>-150</v>
      </c>
    </row>
    <row r="15" spans="1:11" x14ac:dyDescent="0.2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">
      <c r="B19" t="s">
        <v>230</v>
      </c>
      <c r="C19" t="s">
        <v>231</v>
      </c>
      <c r="E19">
        <v>141.30000000000001</v>
      </c>
    </row>
    <row r="20" spans="1:12" x14ac:dyDescent="0.2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">
      <c r="B21" t="s">
        <v>226</v>
      </c>
      <c r="C21" t="s">
        <v>217</v>
      </c>
      <c r="E21">
        <v>141.30000000000001</v>
      </c>
    </row>
    <row r="22" spans="1:12" x14ac:dyDescent="0.2">
      <c r="B22" t="s">
        <v>227</v>
      </c>
      <c r="C22" t="s">
        <v>217</v>
      </c>
      <c r="E22">
        <v>141.30000000000001</v>
      </c>
    </row>
    <row r="23" spans="1:12" x14ac:dyDescent="0.2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">
      <c r="A26" t="s">
        <v>188</v>
      </c>
      <c r="B26" t="s">
        <v>220</v>
      </c>
      <c r="E26">
        <v>125.6</v>
      </c>
      <c r="L26" t="s">
        <v>229</v>
      </c>
    </row>
    <row r="27" spans="1:12" x14ac:dyDescent="0.2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2.75" x14ac:dyDescent="0.2"/>
  <cols>
    <col min="1" max="1" width="40.140625" customWidth="1"/>
    <col min="3" max="3" width="6" bestFit="1" customWidth="1"/>
    <col min="4" max="4" width="13.42578125" bestFit="1" customWidth="1"/>
    <col min="5" max="5" width="10.140625" bestFit="1" customWidth="1"/>
    <col min="7" max="7" width="26.7109375" bestFit="1" customWidth="1"/>
    <col min="8" max="8" width="14.28515625" bestFit="1" customWidth="1"/>
    <col min="9" max="9" width="5.28515625" customWidth="1"/>
    <col min="10" max="10" width="10" bestFit="1" customWidth="1"/>
    <col min="12" max="12" width="10.140625" bestFit="1" customWidth="1"/>
    <col min="13" max="13" width="6.85546875" bestFit="1" customWidth="1"/>
  </cols>
  <sheetData>
    <row r="1" spans="1:13" x14ac:dyDescent="0.2">
      <c r="A1" t="s">
        <v>90</v>
      </c>
    </row>
    <row r="3" spans="1:13" x14ac:dyDescent="0.2">
      <c r="A3" t="s">
        <v>91</v>
      </c>
      <c r="B3">
        <v>208.33</v>
      </c>
    </row>
    <row r="4" spans="1:13" x14ac:dyDescent="0.2">
      <c r="A4" t="s">
        <v>92</v>
      </c>
      <c r="B4">
        <v>5000</v>
      </c>
      <c r="J4">
        <f>J6*24</f>
        <v>4999.9920000000002</v>
      </c>
    </row>
    <row r="6" spans="1:13" x14ac:dyDescent="0.2">
      <c r="H6" t="s">
        <v>141</v>
      </c>
      <c r="J6">
        <v>208.333</v>
      </c>
    </row>
    <row r="7" spans="1:13" s="34" customFormat="1" ht="38.25" x14ac:dyDescent="0.2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"/>
    <row r="22" spans="1:12" s="48" customFormat="1" x14ac:dyDescent="0.2">
      <c r="A22" s="48" t="s">
        <v>205</v>
      </c>
    </row>
    <row r="23" spans="1:12" x14ac:dyDescent="0.2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">
      <c r="A54" s="75" t="s">
        <v>343</v>
      </c>
      <c r="B54">
        <v>1600</v>
      </c>
      <c r="D54">
        <v>1600</v>
      </c>
      <c r="E54" s="1">
        <v>40527</v>
      </c>
    </row>
    <row r="55" spans="1:13" x14ac:dyDescent="0.2">
      <c r="A55" s="75" t="s">
        <v>345</v>
      </c>
      <c r="B55">
        <v>381.5</v>
      </c>
      <c r="E55" s="1">
        <v>40527</v>
      </c>
    </row>
    <row r="56" spans="1:13" x14ac:dyDescent="0.2">
      <c r="A56" s="75" t="s">
        <v>344</v>
      </c>
      <c r="B56">
        <v>372</v>
      </c>
      <c r="E56" s="1">
        <v>40557</v>
      </c>
    </row>
    <row r="57" spans="1:13" x14ac:dyDescent="0.2">
      <c r="A57" s="75" t="s">
        <v>346</v>
      </c>
      <c r="B57">
        <v>336</v>
      </c>
      <c r="E57" s="1">
        <v>40557</v>
      </c>
    </row>
    <row r="58" spans="1:13" x14ac:dyDescent="0.2">
      <c r="A58" s="75" t="s">
        <v>347</v>
      </c>
      <c r="B58">
        <v>374.5</v>
      </c>
      <c r="E58" s="1">
        <v>40557</v>
      </c>
    </row>
    <row r="59" spans="1:13" x14ac:dyDescent="0.2">
      <c r="E59" s="1"/>
    </row>
    <row r="60" spans="1:13" x14ac:dyDescent="0.2">
      <c r="A60" s="75" t="s">
        <v>63</v>
      </c>
      <c r="B60">
        <f>SUM(B54:B58)/2+B53</f>
        <v>2468</v>
      </c>
    </row>
    <row r="61" spans="1:13" x14ac:dyDescent="0.2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E5"/>
  <sheetViews>
    <sheetView workbookViewId="0">
      <selection activeCell="A22" sqref="A22"/>
    </sheetView>
  </sheetViews>
  <sheetFormatPr defaultRowHeight="12.75" x14ac:dyDescent="0.2"/>
  <cols>
    <col min="2" max="2" width="10.140625" bestFit="1" customWidth="1"/>
    <col min="3" max="3" width="10.140625" customWidth="1"/>
    <col min="4" max="4" width="10.28515625" style="8" bestFit="1" customWidth="1"/>
  </cols>
  <sheetData>
    <row r="2" spans="1:5" x14ac:dyDescent="0.2">
      <c r="A2" t="s">
        <v>57</v>
      </c>
      <c r="B2" s="1">
        <v>39386</v>
      </c>
      <c r="C2" t="s">
        <v>60</v>
      </c>
      <c r="D2" s="8">
        <v>1972.65</v>
      </c>
    </row>
    <row r="3" spans="1:5" x14ac:dyDescent="0.2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2" sqref="B12"/>
    </sheetView>
  </sheetViews>
  <sheetFormatPr defaultColWidth="22.85546875" defaultRowHeight="12.75" x14ac:dyDescent="0.2"/>
  <cols>
    <col min="1" max="1" width="32.7109375" customWidth="1"/>
    <col min="2" max="2" width="11.28515625" bestFit="1" customWidth="1"/>
    <col min="3" max="4" width="10.42578125" bestFit="1" customWidth="1"/>
    <col min="5" max="5" width="9.5703125" bestFit="1" customWidth="1"/>
  </cols>
  <sheetData>
    <row r="1" spans="1:5" x14ac:dyDescent="0.2">
      <c r="A1" t="s">
        <v>372</v>
      </c>
    </row>
    <row r="7" spans="1:5" ht="31.5" x14ac:dyDescent="0.2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75" x14ac:dyDescent="0.2">
      <c r="A8" s="76" t="s">
        <v>376</v>
      </c>
      <c r="B8" s="77">
        <v>250</v>
      </c>
      <c r="C8" s="154" t="s">
        <v>383</v>
      </c>
      <c r="D8" s="76"/>
      <c r="E8" s="76"/>
    </row>
    <row r="9" spans="1:5" ht="15.75" x14ac:dyDescent="0.2">
      <c r="A9" s="78" t="s">
        <v>381</v>
      </c>
      <c r="B9" s="77">
        <f>105*3</f>
        <v>315</v>
      </c>
      <c r="C9" s="154"/>
      <c r="D9" s="76"/>
      <c r="E9" s="79"/>
    </row>
    <row r="10" spans="1:5" ht="15.75" x14ac:dyDescent="0.2">
      <c r="A10" s="76" t="s">
        <v>377</v>
      </c>
      <c r="B10" s="77">
        <v>55</v>
      </c>
      <c r="C10" s="76"/>
      <c r="D10" s="155">
        <v>-160</v>
      </c>
      <c r="E10" s="76"/>
    </row>
    <row r="11" spans="1:5" ht="15.75" x14ac:dyDescent="0.2">
      <c r="A11" s="76" t="s">
        <v>378</v>
      </c>
      <c r="B11" s="77">
        <v>105</v>
      </c>
      <c r="C11" s="155">
        <v>-441</v>
      </c>
      <c r="D11" s="155"/>
      <c r="E11" s="76"/>
    </row>
    <row r="12" spans="1:5" ht="15.75" x14ac:dyDescent="0.2">
      <c r="A12" s="76" t="s">
        <v>382</v>
      </c>
      <c r="B12" s="77">
        <f>105*5</f>
        <v>525</v>
      </c>
      <c r="C12" s="155"/>
      <c r="D12" s="76"/>
      <c r="E12" s="76"/>
    </row>
    <row r="13" spans="1:5" ht="15.75" x14ac:dyDescent="0.2">
      <c r="A13" s="80" t="s">
        <v>384</v>
      </c>
      <c r="B13" s="81">
        <v>11.3</v>
      </c>
      <c r="C13" s="82"/>
      <c r="D13" s="80"/>
      <c r="E13" s="80"/>
    </row>
    <row r="14" spans="1:5" ht="16.5" thickBot="1" x14ac:dyDescent="0.25">
      <c r="A14" s="80" t="s">
        <v>384</v>
      </c>
      <c r="B14" s="81">
        <v>15.31</v>
      </c>
      <c r="C14" s="82"/>
      <c r="D14" s="80"/>
      <c r="E14" s="80"/>
    </row>
    <row r="15" spans="1:5" ht="16.5" thickBot="1" x14ac:dyDescent="0.25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2007-17 medical bills</vt:lpstr>
      <vt:lpstr>Rx notes</vt:lpstr>
      <vt:lpstr>HSA</vt:lpstr>
      <vt:lpstr>childcare</vt:lpstr>
      <vt:lpstr>DCAP</vt:lpstr>
      <vt:lpstr>2007 ShTermDis</vt:lpstr>
      <vt:lpstr>gary mackendrick</vt:lpstr>
      <vt:lpstr>'2007-17 medical bills'!Print_Area</vt:lpstr>
    </vt:vector>
  </TitlesOfParts>
  <Company>Intel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keywords>CTPClassification=CTP_NWR:VisualMarkings=</cp:keywords>
  <cp:lastModifiedBy>Bailey Roberts, Roberta</cp:lastModifiedBy>
  <cp:lastPrinted>2008-01-04T19:23:50Z</cp:lastPrinted>
  <dcterms:created xsi:type="dcterms:W3CDTF">2007-11-15T19:36:44Z</dcterms:created>
  <dcterms:modified xsi:type="dcterms:W3CDTF">2017-09-25T03:34:45Z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fced664d-4e88-43a5-88da-45b6339860d8</vt:lpwstr>
  </property>
  <property fmtid="{D5CDD505-2E9C-101B-9397-08002B2CF9AE}" pid="3" name="CTP_TimeStamp">
    <vt:lpwstr>2017-09-25 03:34:42Z</vt:lpwstr>
  </property>
  <property fmtid="{D5CDD505-2E9C-101B-9397-08002B2CF9AE}" pid="4" name="CTP_BU">
    <vt:lpwstr>NA</vt:lpwstr>
  </property>
  <property fmtid="{D5CDD505-2E9C-101B-9397-08002B2CF9AE}" pid="5" name="CTP_IDSID">
    <vt:lpwstr>NA</vt:lpwstr>
  </property>
  <property fmtid="{D5CDD505-2E9C-101B-9397-08002B2CF9AE}" pid="6" name="CTP_WWID">
    <vt:lpwstr>NA</vt:lpwstr>
  </property>
  <property fmtid="{D5CDD505-2E9C-101B-9397-08002B2CF9AE}" pid="7" name="CTPClassification">
    <vt:lpwstr>CTP_NWR</vt:lpwstr>
  </property>
</Properties>
</file>